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420" tabRatio="19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617" i="1" l="1"/>
  <c r="A1" i="1"/>
  <c r="AH133" i="1" l="1"/>
  <c r="AK83" i="1"/>
  <c r="AK69" i="1"/>
  <c r="AH101" i="1"/>
  <c r="AK76" i="1" l="1"/>
  <c r="AK111" i="1"/>
  <c r="AK110" i="1"/>
  <c r="AK106" i="1"/>
  <c r="AK98" i="1"/>
  <c r="AK95" i="1"/>
  <c r="AK94" i="1"/>
  <c r="AK85" i="1"/>
  <c r="AK84" i="1"/>
  <c r="AK81" i="1"/>
  <c r="AK80" i="1"/>
  <c r="AK79" i="1"/>
  <c r="AK70" i="1"/>
  <c r="AH106" i="1"/>
  <c r="AH105" i="1"/>
  <c r="AH104" i="1"/>
  <c r="AH103" i="1"/>
  <c r="AH102" i="1"/>
  <c r="AH100" i="1"/>
  <c r="AH98" i="1"/>
  <c r="AH97" i="1"/>
  <c r="AH96" i="1"/>
  <c r="AH95" i="1"/>
  <c r="AH94" i="1"/>
  <c r="AH93" i="1"/>
  <c r="AH92" i="1"/>
  <c r="AH91" i="1"/>
  <c r="AH136" i="1"/>
  <c r="AH135" i="1"/>
  <c r="AH134" i="1"/>
  <c r="AH132" i="1"/>
  <c r="AH131" i="1"/>
  <c r="AH130" i="1"/>
  <c r="AH129" i="1"/>
  <c r="AH128" i="1"/>
  <c r="AH127" i="1"/>
  <c r="AH125" i="1"/>
  <c r="AH124" i="1"/>
  <c r="AH123" i="1"/>
  <c r="AH122" i="1"/>
  <c r="AH121" i="1"/>
  <c r="AH120" i="1"/>
  <c r="AH119" i="1"/>
  <c r="AH116" i="1"/>
  <c r="AK104" i="1"/>
  <c r="AK103" i="1"/>
  <c r="AH99" i="1"/>
  <c r="AK78" i="1"/>
  <c r="AK75" i="1"/>
  <c r="AK73" i="1"/>
  <c r="AK72" i="1"/>
  <c r="AK67" i="1"/>
  <c r="AK66" i="1"/>
  <c r="AH126" i="1"/>
  <c r="AH118" i="1"/>
  <c r="AH117" i="1"/>
  <c r="AK109" i="1"/>
  <c r="AK108" i="1"/>
  <c r="AK107" i="1"/>
  <c r="AK105" i="1"/>
  <c r="AK102" i="1"/>
  <c r="AK101" i="1"/>
  <c r="AK100" i="1"/>
  <c r="AK99" i="1"/>
  <c r="AK97" i="1"/>
  <c r="AK96" i="1"/>
  <c r="AK93" i="1"/>
  <c r="AK92" i="1"/>
  <c r="AH111" i="1"/>
  <c r="AH110" i="1"/>
  <c r="AH109" i="1"/>
  <c r="AH108" i="1"/>
  <c r="AH107" i="1"/>
  <c r="AK86" i="1"/>
  <c r="AK82" i="1"/>
  <c r="AK77" i="1"/>
  <c r="AK74" i="1"/>
  <c r="AK71" i="1"/>
  <c r="AK68" i="1"/>
  <c r="AH112" i="1" l="1"/>
  <c r="AK91" i="1"/>
  <c r="BK5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90" i="1" l="1"/>
  <c r="X115" i="1"/>
  <c r="AH137" i="1"/>
  <c r="AK112" i="1"/>
  <c r="AK87" i="1"/>
  <c r="AH87" i="1"/>
  <c r="X140" i="1"/>
  <c r="AA115" i="1"/>
  <c r="AA90" i="1"/>
  <c r="BK6" i="1"/>
  <c r="BK3" i="1"/>
  <c r="CJ43" i="1"/>
  <c r="CJ45" i="1"/>
  <c r="CJ46" i="1"/>
  <c r="CJ44" i="1"/>
  <c r="CJ42" i="1"/>
  <c r="CF74" i="1"/>
  <c r="CF73" i="1"/>
  <c r="CF72" i="1"/>
  <c r="CF71" i="1"/>
  <c r="CF70" i="1"/>
  <c r="CF69" i="1"/>
  <c r="CF68" i="1"/>
  <c r="CF67" i="1"/>
  <c r="CF66" i="1"/>
  <c r="CF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10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9" i="1"/>
  <c r="CF8" i="1"/>
  <c r="CF7" i="1"/>
  <c r="CF6" i="1"/>
  <c r="CF5" i="1"/>
  <c r="CF4" i="1"/>
  <c r="CF3" i="1"/>
  <c r="CJ47" i="1" l="1"/>
  <c r="CK46" i="1" s="1"/>
  <c r="CF75" i="1"/>
  <c r="CG43" i="1" s="1"/>
  <c r="CF36" i="1"/>
  <c r="CG10" i="1" s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CK43" i="1" l="1"/>
  <c r="CK45" i="1"/>
  <c r="CK42" i="1"/>
  <c r="CK44" i="1"/>
  <c r="CG27" i="1"/>
  <c r="CG11" i="1"/>
  <c r="CG72" i="1"/>
  <c r="CG68" i="1"/>
  <c r="CG64" i="1"/>
  <c r="CG60" i="1"/>
  <c r="CG56" i="1"/>
  <c r="CG52" i="1"/>
  <c r="CG48" i="1"/>
  <c r="CG44" i="1"/>
  <c r="CG73" i="1"/>
  <c r="CG69" i="1"/>
  <c r="CG65" i="1"/>
  <c r="CG61" i="1"/>
  <c r="CG57" i="1"/>
  <c r="CG53" i="1"/>
  <c r="CG49" i="1"/>
  <c r="CG45" i="1"/>
  <c r="CG35" i="1"/>
  <c r="CG19" i="1"/>
  <c r="CG74" i="1"/>
  <c r="CG70" i="1"/>
  <c r="CG66" i="1"/>
  <c r="CG62" i="1"/>
  <c r="CG58" i="1"/>
  <c r="CG54" i="1"/>
  <c r="CG50" i="1"/>
  <c r="CG46" i="1"/>
  <c r="CG42" i="1"/>
  <c r="CG71" i="1"/>
  <c r="CG67" i="1"/>
  <c r="CG63" i="1"/>
  <c r="CG59" i="1"/>
  <c r="CG55" i="1"/>
  <c r="CG51" i="1"/>
  <c r="CG47" i="1"/>
  <c r="CG3" i="1"/>
  <c r="CG7" i="1"/>
  <c r="CG12" i="1"/>
  <c r="CG16" i="1"/>
  <c r="CG20" i="1"/>
  <c r="CG24" i="1"/>
  <c r="CG28" i="1"/>
  <c r="CG32" i="1"/>
  <c r="CG5" i="1"/>
  <c r="CG9" i="1"/>
  <c r="CG14" i="1"/>
  <c r="CG18" i="1"/>
  <c r="CG22" i="1"/>
  <c r="CG26" i="1"/>
  <c r="CG30" i="1"/>
  <c r="CG34" i="1"/>
  <c r="CG4" i="1"/>
  <c r="CG8" i="1"/>
  <c r="CG13" i="1"/>
  <c r="CG17" i="1"/>
  <c r="CG21" i="1"/>
  <c r="CG25" i="1"/>
  <c r="CG29" i="1"/>
  <c r="CG33" i="1"/>
  <c r="CG31" i="1"/>
  <c r="CG23" i="1"/>
  <c r="CG15" i="1"/>
  <c r="CG6" i="1"/>
  <c r="BK43" i="1"/>
  <c r="BK4" i="1"/>
  <c r="BK7" i="1"/>
  <c r="BK46" i="1"/>
  <c r="BK45" i="1"/>
  <c r="BK44" i="1"/>
  <c r="AQ4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/>
  <c r="BK42" i="1"/>
  <c r="BG43" i="1"/>
  <c r="BG42" i="1"/>
  <c r="CG75" i="1" l="1"/>
  <c r="CG36" i="1"/>
  <c r="BK8" i="1"/>
  <c r="BK47" i="1"/>
  <c r="BL45" i="1" s="1"/>
  <c r="BG75" i="1"/>
  <c r="BH42" i="1" s="1"/>
  <c r="BG36" i="1"/>
  <c r="BH4" i="1" s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BL7" i="1" l="1"/>
  <c r="BL44" i="1"/>
  <c r="BH29" i="1"/>
  <c r="BH21" i="1"/>
  <c r="BH13" i="1"/>
  <c r="BH5" i="1"/>
  <c r="BL4" i="1"/>
  <c r="BL6" i="1"/>
  <c r="BH33" i="1"/>
  <c r="BH25" i="1"/>
  <c r="BH17" i="1"/>
  <c r="BH9" i="1"/>
  <c r="BL42" i="1"/>
  <c r="BL46" i="1"/>
  <c r="BH35" i="1"/>
  <c r="BH31" i="1"/>
  <c r="BH27" i="1"/>
  <c r="BH23" i="1"/>
  <c r="BH19" i="1"/>
  <c r="BH15" i="1"/>
  <c r="BH11" i="1"/>
  <c r="BH7" i="1"/>
  <c r="BL3" i="1"/>
  <c r="BL43" i="1"/>
  <c r="BL5" i="1"/>
  <c r="BH34" i="1"/>
  <c r="BH30" i="1"/>
  <c r="BH26" i="1"/>
  <c r="BH22" i="1"/>
  <c r="BH18" i="1"/>
  <c r="BH14" i="1"/>
  <c r="BH10" i="1"/>
  <c r="BH6" i="1"/>
  <c r="BH3" i="1"/>
  <c r="BH45" i="1"/>
  <c r="BH49" i="1"/>
  <c r="BH53" i="1"/>
  <c r="BH57" i="1"/>
  <c r="BH61" i="1"/>
  <c r="BH65" i="1"/>
  <c r="BH69" i="1"/>
  <c r="BH73" i="1"/>
  <c r="BH46" i="1"/>
  <c r="BH50" i="1"/>
  <c r="BH54" i="1"/>
  <c r="BH58" i="1"/>
  <c r="BH62" i="1"/>
  <c r="BH66" i="1"/>
  <c r="BH70" i="1"/>
  <c r="BH74" i="1"/>
  <c r="BH47" i="1"/>
  <c r="BH51" i="1"/>
  <c r="BH55" i="1"/>
  <c r="BH59" i="1"/>
  <c r="BH63" i="1"/>
  <c r="BH67" i="1"/>
  <c r="BH71" i="1"/>
  <c r="BH44" i="1"/>
  <c r="BH48" i="1"/>
  <c r="BH52" i="1"/>
  <c r="BH56" i="1"/>
  <c r="BH60" i="1"/>
  <c r="BH64" i="1"/>
  <c r="BH68" i="1"/>
  <c r="BH72" i="1"/>
  <c r="BH32" i="1"/>
  <c r="BH28" i="1"/>
  <c r="BH24" i="1"/>
  <c r="BH20" i="1"/>
  <c r="BH16" i="1"/>
  <c r="BH12" i="1"/>
  <c r="BH8" i="1"/>
  <c r="BH43" i="1"/>
  <c r="BL47" i="1" l="1"/>
  <c r="BH75" i="1"/>
  <c r="CK47" i="1"/>
  <c r="BL8" i="1"/>
  <c r="BH36" i="1"/>
  <c r="AQ64" i="1"/>
  <c r="AQ63" i="1"/>
  <c r="AQ62" i="1"/>
  <c r="AQ61" i="1"/>
  <c r="AQ60" i="1"/>
  <c r="AQ59" i="1"/>
  <c r="AQ58" i="1"/>
  <c r="AQ57" i="1"/>
  <c r="AU22" i="1" s="1"/>
  <c r="AQ56" i="1"/>
  <c r="AU21" i="1" s="1"/>
  <c r="AQ55" i="1"/>
  <c r="AQ54" i="1"/>
  <c r="AQ53" i="1"/>
  <c r="AQ52" i="1"/>
  <c r="AU20" i="1" s="1"/>
  <c r="AQ51" i="1"/>
  <c r="AU19" i="1" s="1"/>
  <c r="AQ50" i="1"/>
  <c r="AQ49" i="1"/>
  <c r="AQ48" i="1"/>
  <c r="AU18" i="1" s="1"/>
  <c r="AQ47" i="1"/>
  <c r="AU17" i="1"/>
  <c r="AQ45" i="1"/>
  <c r="AU16" i="1" s="1"/>
  <c r="AQ44" i="1"/>
  <c r="AQ43" i="1"/>
  <c r="AQ42" i="1"/>
  <c r="AQ41" i="1"/>
  <c r="AQ40" i="1"/>
  <c r="AQ39" i="1"/>
  <c r="AU15" i="1" s="1"/>
  <c r="AQ38" i="1"/>
  <c r="AU14" i="1" s="1"/>
  <c r="AQ37" i="1"/>
  <c r="AQ36" i="1"/>
  <c r="AQ35" i="1"/>
  <c r="AQ34" i="1"/>
  <c r="AU13" i="1" s="1"/>
  <c r="AQ33" i="1"/>
  <c r="AU12" i="1" s="1"/>
  <c r="AQ32" i="1"/>
  <c r="AQ31" i="1"/>
  <c r="AQ30" i="1"/>
  <c r="AQ29" i="1"/>
  <c r="AQ28" i="1"/>
  <c r="AQ27" i="1"/>
  <c r="AQ26" i="1"/>
  <c r="AU11" i="1" s="1"/>
  <c r="AQ25" i="1"/>
  <c r="AQ24" i="1"/>
  <c r="AQ23" i="1"/>
  <c r="AQ22" i="1"/>
  <c r="AU10" i="1" s="1"/>
  <c r="AQ21" i="1"/>
  <c r="AU9" i="1" s="1"/>
  <c r="AQ20" i="1"/>
  <c r="AQ19" i="1"/>
  <c r="AQ18" i="1"/>
  <c r="AQ17" i="1"/>
  <c r="AQ16" i="1"/>
  <c r="AQ15" i="1"/>
  <c r="AU8" i="1" s="1"/>
  <c r="AQ14" i="1"/>
  <c r="AQ13" i="1"/>
  <c r="AQ12" i="1"/>
  <c r="AU7" i="1" s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X35" i="1"/>
  <c r="X34" i="1"/>
  <c r="X33" i="1"/>
  <c r="X32" i="1"/>
  <c r="X31" i="1"/>
  <c r="X29" i="1"/>
  <c r="X30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AK7" i="1" l="1"/>
  <c r="AQ11" i="1"/>
  <c r="AQ10" i="1"/>
  <c r="AQ9" i="1"/>
  <c r="AU6" i="1" s="1"/>
  <c r="AQ8" i="1"/>
  <c r="AU5" i="1" s="1"/>
  <c r="AQ7" i="1"/>
  <c r="AU4" i="1" s="1"/>
  <c r="AQ6" i="1"/>
  <c r="AQ5" i="1"/>
  <c r="AQ4" i="1"/>
  <c r="AU3" i="1" s="1"/>
  <c r="AQ3" i="1"/>
  <c r="AG9" i="1"/>
  <c r="AK5" i="1" s="1"/>
  <c r="AG8" i="1"/>
  <c r="AG7" i="1"/>
  <c r="AK3" i="1" s="1"/>
  <c r="AG6" i="1"/>
  <c r="AG5" i="1"/>
  <c r="AG4" i="1"/>
  <c r="AG3" i="1"/>
  <c r="X3" i="1"/>
  <c r="X8" i="1"/>
  <c r="X7" i="1"/>
  <c r="X6" i="1"/>
  <c r="X5" i="1"/>
  <c r="X4" i="1"/>
  <c r="AK4" i="1" l="1"/>
  <c r="AK6" i="1"/>
  <c r="M24" i="1"/>
  <c r="AG31" i="1"/>
  <c r="AQ65" i="1"/>
  <c r="AU23" i="1"/>
  <c r="X36" i="1"/>
  <c r="AU24" i="1" l="1"/>
  <c r="Y10" i="1"/>
  <c r="Y14" i="1"/>
  <c r="Y18" i="1"/>
  <c r="Y22" i="1"/>
  <c r="Y26" i="1"/>
  <c r="Y29" i="1"/>
  <c r="Y34" i="1"/>
  <c r="Y9" i="1"/>
  <c r="Y13" i="1"/>
  <c r="Y17" i="1"/>
  <c r="Y21" i="1"/>
  <c r="Y25" i="1"/>
  <c r="Y30" i="1"/>
  <c r="Y33" i="1"/>
  <c r="Y12" i="1"/>
  <c r="Y16" i="1"/>
  <c r="Y20" i="1"/>
  <c r="Y24" i="1"/>
  <c r="Y28" i="1"/>
  <c r="Y32" i="1"/>
  <c r="Y11" i="1"/>
  <c r="Y15" i="1"/>
  <c r="Y19" i="1"/>
  <c r="Y23" i="1"/>
  <c r="Y27" i="1"/>
  <c r="Y31" i="1"/>
  <c r="Y35" i="1"/>
  <c r="Y7" i="1"/>
  <c r="Y6" i="1"/>
  <c r="Y3" i="1"/>
  <c r="Y5" i="1"/>
  <c r="Y8" i="1"/>
  <c r="Y4" i="1"/>
  <c r="AK8" i="1"/>
  <c r="AL6" i="1" s="1"/>
  <c r="AV9" i="1" l="1"/>
  <c r="AV15" i="1"/>
  <c r="AV19" i="1"/>
  <c r="AV7" i="1"/>
  <c r="AV11" i="1"/>
  <c r="AV14" i="1"/>
  <c r="AV18" i="1"/>
  <c r="AV21" i="1"/>
  <c r="AV8" i="1"/>
  <c r="AV12" i="1"/>
  <c r="AV16" i="1"/>
  <c r="AV22" i="1"/>
  <c r="AV10" i="1"/>
  <c r="AV13" i="1"/>
  <c r="AV17" i="1"/>
  <c r="AV20" i="1"/>
  <c r="AV5" i="1"/>
  <c r="AV6" i="1"/>
  <c r="AV3" i="1"/>
  <c r="AV4" i="1"/>
  <c r="AL5" i="1"/>
  <c r="AL3" i="1"/>
  <c r="AL7" i="1"/>
  <c r="Y36" i="1"/>
  <c r="AL4" i="1"/>
  <c r="AV23" i="1"/>
  <c r="AV24" i="1" l="1"/>
  <c r="AL8" i="1"/>
</calcChain>
</file>

<file path=xl/sharedStrings.xml><?xml version="1.0" encoding="utf-8"?>
<sst xmlns="http://schemas.openxmlformats.org/spreadsheetml/2006/main" count="5422" uniqueCount="1341">
  <si>
    <t>Tittel</t>
  </si>
  <si>
    <t>Forlag</t>
  </si>
  <si>
    <t>Dewey-nummer</t>
  </si>
  <si>
    <t>Haust-vrimlebok</t>
  </si>
  <si>
    <t>Samlaget</t>
  </si>
  <si>
    <t>833[SU]</t>
  </si>
  <si>
    <t>Berner, Rotraut Susanne</t>
  </si>
  <si>
    <t>ger</t>
  </si>
  <si>
    <t>Children's literature</t>
  </si>
  <si>
    <t>Eg veit, ja eg veit</t>
  </si>
  <si>
    <t>IKO-forl.</t>
  </si>
  <si>
    <t>IKO</t>
  </si>
  <si>
    <t>895.63[SU]</t>
  </si>
  <si>
    <t>Yano, Shigeko</t>
  </si>
  <si>
    <t>Norheim, Jørgen</t>
  </si>
  <si>
    <t>Frans lærer å lese</t>
  </si>
  <si>
    <t>I samarbeid med Libris</t>
  </si>
  <si>
    <t>Cappelen Damm</t>
  </si>
  <si>
    <t>Nöstlinger, Christine</t>
  </si>
  <si>
    <t>Dei greske gudane og lagnaden</t>
  </si>
  <si>
    <t>831[S]</t>
  </si>
  <si>
    <t>Schiller, Friedrich</t>
  </si>
  <si>
    <t>Gjerdåker, Johannes</t>
  </si>
  <si>
    <t>German poetry</t>
  </si>
  <si>
    <t>5 ballongbra bursdagshistorier</t>
  </si>
  <si>
    <t>Landbruksforl.</t>
  </si>
  <si>
    <t>Wich, Henriette</t>
  </si>
  <si>
    <t>Winger, Cecilie</t>
  </si>
  <si>
    <t>Vår-vrimlebok</t>
  </si>
  <si>
    <t>Eit eventyr er eit eventyr er eit eventyr</t>
  </si>
  <si>
    <t>Skald</t>
  </si>
  <si>
    <t>Lembcke, Marjaleena</t>
  </si>
  <si>
    <t>Bjørke, Camilla</t>
  </si>
  <si>
    <t>Mor Courage</t>
  </si>
  <si>
    <t>Hålogaland teater</t>
  </si>
  <si>
    <t>832[S]</t>
  </si>
  <si>
    <t>Brecht, Bertolt</t>
  </si>
  <si>
    <t>Olsen, Ragnar</t>
  </si>
  <si>
    <t>Drama</t>
  </si>
  <si>
    <t>Bymusikantane i Bremen</t>
  </si>
  <si>
    <t>Janosch</t>
  </si>
  <si>
    <t>Hovland, Ragnar</t>
  </si>
  <si>
    <t>Don Carlos</t>
  </si>
  <si>
    <t>Ødegård, Knut</t>
  </si>
  <si>
    <t>Ritter, Dene, Voss</t>
  </si>
  <si>
    <t>Bernhard, Thomas</t>
  </si>
  <si>
    <t>Fosse, Jon</t>
  </si>
  <si>
    <t>Brev til ein ung diktar</t>
  </si>
  <si>
    <t>Bokvennen</t>
  </si>
  <si>
    <t>836[S]</t>
  </si>
  <si>
    <t>Rilke, Rainer Maria</t>
  </si>
  <si>
    <t>Bjørnstad, Åsmund</t>
  </si>
  <si>
    <t>German letters</t>
  </si>
  <si>
    <t>Tigeren får sykkel</t>
  </si>
  <si>
    <t>Vesaas, Halldis Moren</t>
  </si>
  <si>
    <t>Dagboksdagar</t>
  </si>
  <si>
    <t>Kolon</t>
  </si>
  <si>
    <t>Latzina, Anemone</t>
  </si>
  <si>
    <t>Ljosland, Knut</t>
  </si>
  <si>
    <t>Historier frå Wienerskogen</t>
  </si>
  <si>
    <t>Horváth, Ödön von</t>
  </si>
  <si>
    <t>Besøk av ei gammal dame</t>
  </si>
  <si>
    <t>Det norske teatret</t>
  </si>
  <si>
    <t>Dürrenmatt, Friedrich</t>
  </si>
  <si>
    <t>Hoem, Edvard</t>
  </si>
  <si>
    <t>Sommar-vrimlebok</t>
  </si>
  <si>
    <t>Lise og Lotte eller omvendt</t>
  </si>
  <si>
    <t>Kästner, Erich</t>
  </si>
  <si>
    <t>Eit lys over hovudet</t>
  </si>
  <si>
    <t>Solum</t>
  </si>
  <si>
    <t>833[S]</t>
  </si>
  <si>
    <t>Dinev, Dimitré</t>
  </si>
  <si>
    <t>Østbø, Johannes</t>
  </si>
  <si>
    <t>German fiction</t>
  </si>
  <si>
    <t>Bestevenner</t>
  </si>
  <si>
    <t>Olten, Manuela</t>
  </si>
  <si>
    <t>Frans og hundane</t>
  </si>
  <si>
    <t>Damm</t>
  </si>
  <si>
    <t>Langleite, Erling</t>
  </si>
  <si>
    <t>Epikurs hage</t>
  </si>
  <si>
    <t>Cappelen</t>
  </si>
  <si>
    <t>Hahn, Ulla</t>
  </si>
  <si>
    <t>Alvekongens dotter</t>
  </si>
  <si>
    <t>Kirsch, Sarah</t>
  </si>
  <si>
    <t>Faust</t>
  </si>
  <si>
    <t>Goethe, Johann Wolfgang von</t>
  </si>
  <si>
    <t>Nesse, Åse-Marie</t>
  </si>
  <si>
    <t>Tolvskillingsoperaen</t>
  </si>
  <si>
    <t>[Sogn og Fjordane teater]</t>
  </si>
  <si>
    <t>Sogn og Fjordane teater</t>
  </si>
  <si>
    <t>Pintzka, Wolfgang</t>
  </si>
  <si>
    <t>Tigeren og bjørnen i trafikken</t>
  </si>
  <si>
    <t>Eplemos mot kjærleikssorg</t>
  </si>
  <si>
    <t>Den vesle tjukke Janosch-boka</t>
  </si>
  <si>
    <t>Bokklubbens barn</t>
  </si>
  <si>
    <t>Midtbø, Hanna</t>
  </si>
  <si>
    <t>Angsten et sjela</t>
  </si>
  <si>
    <t>Fassbinder, Rainer Werner</t>
  </si>
  <si>
    <t>Vinter-vrimlebok</t>
  </si>
  <si>
    <t>Oups</t>
  </si>
  <si>
    <t>Hörtenhuber, Kurt</t>
  </si>
  <si>
    <t>Anderssen, Idun Husabø</t>
  </si>
  <si>
    <t>Ved målet</t>
  </si>
  <si>
    <t>Eg var der</t>
  </si>
  <si>
    <t>Pausewang, Gudrun</t>
  </si>
  <si>
    <t>Rosse, Øystein</t>
  </si>
  <si>
    <t>Liten-på-jord-Tor</t>
  </si>
  <si>
    <t>Huber, Annette</t>
  </si>
  <si>
    <t>Aksnes, Brit</t>
  </si>
  <si>
    <t>Uglesong</t>
  </si>
  <si>
    <t>Procházková, Iva</t>
  </si>
  <si>
    <t>Ørjasæter, Jo</t>
  </si>
  <si>
    <t>Frøken Zerline</t>
  </si>
  <si>
    <t>Broch, Hermann</t>
  </si>
  <si>
    <t>4 blålysande brannbilhistorier</t>
  </si>
  <si>
    <t>Hauenschild, Lydia</t>
  </si>
  <si>
    <t>Med tigeren og bjørnen til Panama</t>
  </si>
  <si>
    <t>Lydbokforl.</t>
  </si>
  <si>
    <t>Natt-vrimlebok</t>
  </si>
  <si>
    <t>Venner</t>
  </si>
  <si>
    <t>Heine, Helme</t>
  </si>
  <si>
    <t>Plogkaren og døden</t>
  </si>
  <si>
    <t>838[S]</t>
  </si>
  <si>
    <t>Johannes fra Saaz</t>
  </si>
  <si>
    <t>Skard, Sigmund</t>
  </si>
  <si>
    <t>German miscellaneous writings</t>
  </si>
  <si>
    <t>Sjøuhyre i sikte!</t>
  </si>
  <si>
    <t>Wolf, Klaus-Peter</t>
  </si>
  <si>
    <t>Tranene til Ibykus</t>
  </si>
  <si>
    <t>831.008[S]</t>
  </si>
  <si>
    <t>[Hålogaland teater]</t>
  </si>
  <si>
    <t>Gay, John</t>
  </si>
  <si>
    <t>Alberta og kjærleiken</t>
  </si>
  <si>
    <t>Abedi, Isabel</t>
  </si>
  <si>
    <t>Måseide, Turid</t>
  </si>
  <si>
    <t>Herskap ved fjorden</t>
  </si>
  <si>
    <t>Kurz, Karl Friedrich</t>
  </si>
  <si>
    <t>Losnegård, Rolf</t>
  </si>
  <si>
    <t>Gammal dame på besøk</t>
  </si>
  <si>
    <t>Oups frå hjarteplaneten</t>
  </si>
  <si>
    <t>Wolf, Conny</t>
  </si>
  <si>
    <t>Hamre, Johannes</t>
  </si>
  <si>
    <t>Esel</t>
  </si>
  <si>
    <t>Dahimène, Adelheid</t>
  </si>
  <si>
    <t>Kom no eld!</t>
  </si>
  <si>
    <t>Hölderlin, Friedrich</t>
  </si>
  <si>
    <t>Skorgen, Torgeir</t>
  </si>
  <si>
    <t>Frans og lærar Sikksakk</t>
  </si>
  <si>
    <t>Heldige Jemini</t>
  </si>
  <si>
    <t>Janisch, Heinz</t>
  </si>
  <si>
    <t>Henriks hattar</t>
  </si>
  <si>
    <t>Gan</t>
  </si>
  <si>
    <t>Gan Aschehoug</t>
  </si>
  <si>
    <t>823[SU]</t>
  </si>
  <si>
    <t>Brian, Janeen</t>
  </si>
  <si>
    <t>Solem, Hanne</t>
  </si>
  <si>
    <t>eng</t>
  </si>
  <si>
    <t>Reisa til Betlehem</t>
  </si>
  <si>
    <t>Wildsmith, Brian</t>
  </si>
  <si>
    <t>Garum, Vera Irene</t>
  </si>
  <si>
    <t>Midtsommars is</t>
  </si>
  <si>
    <t>821[S]</t>
  </si>
  <si>
    <t>Murray, Les A.</t>
  </si>
  <si>
    <t>Fosse, Grethe</t>
  </si>
  <si>
    <t>English poetry</t>
  </si>
  <si>
    <t>Lucy frå Lammermoor</t>
  </si>
  <si>
    <t>Von forl.</t>
  </si>
  <si>
    <t>823[S]</t>
  </si>
  <si>
    <t>Scott, Walter</t>
  </si>
  <si>
    <t>Røssbø, Sigrun Anny</t>
  </si>
  <si>
    <t>English fiction</t>
  </si>
  <si>
    <t>Spøkelseshistorier</t>
  </si>
  <si>
    <t>813[S]</t>
  </si>
  <si>
    <t>Rogde, Isak</t>
  </si>
  <si>
    <t>American fiction in English</t>
  </si>
  <si>
    <t>Hobbiten, eller Ditut og attende</t>
  </si>
  <si>
    <t>Tiden</t>
  </si>
  <si>
    <t>Tolkien, J.R.R.</t>
  </si>
  <si>
    <t>Myhren, Eilev Groven</t>
  </si>
  <si>
    <t>Eg vil heim!</t>
  </si>
  <si>
    <t>NRK aktivum</t>
  </si>
  <si>
    <t>NRK</t>
  </si>
  <si>
    <t>Ross, Tony</t>
  </si>
  <si>
    <t>Rottefangaren frå Hameln</t>
  </si>
  <si>
    <t>821[SU]</t>
  </si>
  <si>
    <t>Browning, Robert</t>
  </si>
  <si>
    <t>Den store premien</t>
  </si>
  <si>
    <t>Carey, Peter</t>
  </si>
  <si>
    <t>Jack og bønnestengelen</t>
  </si>
  <si>
    <t>Croser, Nigel</t>
  </si>
  <si>
    <t>Fisk på tørt land</t>
  </si>
  <si>
    <t>Pir forl.</t>
  </si>
  <si>
    <t>811[S]</t>
  </si>
  <si>
    <t>Jenkins, Louis</t>
  </si>
  <si>
    <t>Straumsvåg, Dag T.</t>
  </si>
  <si>
    <t>American poetry in English</t>
  </si>
  <si>
    <t>Pablo møter naboane</t>
  </si>
  <si>
    <t>Tutt, Keith</t>
  </si>
  <si>
    <t>Giffard, Hannah</t>
  </si>
  <si>
    <t>Bittesmåane  Dustane</t>
  </si>
  <si>
    <t>822[SU]</t>
  </si>
  <si>
    <t>Dahl, Roald</t>
  </si>
  <si>
    <t>Lyngstad, Terje</t>
  </si>
  <si>
    <t>Det sovande sverdet</t>
  </si>
  <si>
    <t>Morpurgo, Michael</t>
  </si>
  <si>
    <t>Bartleby  Benito Cereno</t>
  </si>
  <si>
    <t>Melville, Herman</t>
  </si>
  <si>
    <t>Kaldestad, Per Olav</t>
  </si>
  <si>
    <t>Sonettar og songar</t>
  </si>
  <si>
    <t>Shakespeare, William</t>
  </si>
  <si>
    <t>Don Quijote</t>
  </si>
  <si>
    <t>812[S]</t>
  </si>
  <si>
    <t>Wassermann, Dale</t>
  </si>
  <si>
    <t>Kiran, Hartvig</t>
  </si>
  <si>
    <t>Nord sentralt</t>
  </si>
  <si>
    <t>Oktober</t>
  </si>
  <si>
    <t>Niedecker, Lorine</t>
  </si>
  <si>
    <t>Vaage, Lars Amund</t>
  </si>
  <si>
    <t>Når trollet skal temmast</t>
  </si>
  <si>
    <t>Teatret vårt</t>
  </si>
  <si>
    <t>822[S]</t>
  </si>
  <si>
    <t>Seks dumme brør</t>
  </si>
  <si>
    <t>McDougall, Jill</t>
  </si>
  <si>
    <t>Reynolds, Pat</t>
  </si>
  <si>
    <t>Kong Lear</t>
  </si>
  <si>
    <t>Ingenting om nattergalen</t>
  </si>
  <si>
    <t>Williams, Tennessee</t>
  </si>
  <si>
    <t>Ethan Frome</t>
  </si>
  <si>
    <t>Wharton, Edith</t>
  </si>
  <si>
    <t>Bildøen, Brit</t>
  </si>
  <si>
    <t>Georgs magiske medisin</t>
  </si>
  <si>
    <t>Gyldendal</t>
  </si>
  <si>
    <t>Romeo og Julie</t>
  </si>
  <si>
    <t>Rekrutten</t>
  </si>
  <si>
    <t>Muchamore, Robert</t>
  </si>
  <si>
    <t>Svak musikk</t>
  </si>
  <si>
    <t>Hass, Robert</t>
  </si>
  <si>
    <t>Haugen, Paal-Helge</t>
  </si>
  <si>
    <t>Den løyndomsfulle hagen</t>
  </si>
  <si>
    <t>813[SU]</t>
  </si>
  <si>
    <t>Burnett, Frances Hodgson</t>
  </si>
  <si>
    <t>Hagerup, Inger</t>
  </si>
  <si>
    <t>Grøne dikt</t>
  </si>
  <si>
    <t>Sæbøe, Jostein</t>
  </si>
  <si>
    <t>Macbeth</t>
  </si>
  <si>
    <t>Måken Jonathan</t>
  </si>
  <si>
    <t>Bach, Richard</t>
  </si>
  <si>
    <t>Som de vil</t>
  </si>
  <si>
    <t>En medtsåmmårnattsdrøm</t>
  </si>
  <si>
    <t>Trøndelag teater</t>
  </si>
  <si>
    <t>Ystgaard, Hans-Magnus</t>
  </si>
  <si>
    <t>Lesesperre</t>
  </si>
  <si>
    <t>Markson, David</t>
  </si>
  <si>
    <t>Eg vil ha middagen min!</t>
  </si>
  <si>
    <t>Utsikt fra brua</t>
  </si>
  <si>
    <t>Miller, Arthur</t>
  </si>
  <si>
    <t>Bjørnsten, Ine Camilla</t>
  </si>
  <si>
    <t>Musikalen Jungelboka</t>
  </si>
  <si>
    <t>839.822[SU]</t>
  </si>
  <si>
    <t>Bø, Ola E.</t>
  </si>
  <si>
    <t>Granatepla i Kandahar</t>
  </si>
  <si>
    <t>Nordsjøforl.</t>
  </si>
  <si>
    <t>Maguire, Sarah</t>
  </si>
  <si>
    <t>Klyve, Odveig</t>
  </si>
  <si>
    <t>Lilly Valentine</t>
  </si>
  <si>
    <t>Russell, Willy</t>
  </si>
  <si>
    <t>Krogstad, Morten</t>
  </si>
  <si>
    <t>Demninga</t>
  </si>
  <si>
    <t>McPherson, Conor</t>
  </si>
  <si>
    <t>Kjøpmannen i Venezia</t>
  </si>
  <si>
    <t>Det Norske teatret</t>
  </si>
  <si>
    <t>Demningen</t>
  </si>
  <si>
    <t>Rogaland teater</t>
  </si>
  <si>
    <t>Stormen</t>
  </si>
  <si>
    <t>Kniver i høner</t>
  </si>
  <si>
    <t>Harrower, David</t>
  </si>
  <si>
    <t>Karusell</t>
  </si>
  <si>
    <t>Rodgers, Richard</t>
  </si>
  <si>
    <t>Pablo går på jakt</t>
  </si>
  <si>
    <t>Venus og Adonis</t>
  </si>
  <si>
    <t>Aschehoug</t>
  </si>
  <si>
    <t>Lunden, Kåre</t>
  </si>
  <si>
    <t>Den lange reisa til Amerika</t>
  </si>
  <si>
    <t>Gan forl.</t>
  </si>
  <si>
    <t>Sandin, Joan</t>
  </si>
  <si>
    <t>Thorseth, Harald</t>
  </si>
  <si>
    <t>Kokainkongen</t>
  </si>
  <si>
    <t>Seinsommardansen</t>
  </si>
  <si>
    <t>Friel, Brian</t>
  </si>
  <si>
    <t>Hytten, Anne-Karen</t>
  </si>
  <si>
    <t>Alle mine kjære</t>
  </si>
  <si>
    <t>Sebold, Alice</t>
  </si>
  <si>
    <t>Torheim, Anne Karin</t>
  </si>
  <si>
    <t>To veker sist sommar</t>
  </si>
  <si>
    <t>821.008[S]</t>
  </si>
  <si>
    <t>Birkedal, Arnt</t>
  </si>
  <si>
    <t>Hunden frå Baskerville</t>
  </si>
  <si>
    <t>Baskerville</t>
  </si>
  <si>
    <t>Doyle, Arthur Conan</t>
  </si>
  <si>
    <t>Nesten evig</t>
  </si>
  <si>
    <t>Alle med lunger kopla saman</t>
  </si>
  <si>
    <t>Spahr, Juliana</t>
  </si>
  <si>
    <t>Storholmen, Ingrid</t>
  </si>
  <si>
    <t>Spelemannen på taket</t>
  </si>
  <si>
    <t>Den nationale scene</t>
  </si>
  <si>
    <t>Stein, Joseph</t>
  </si>
  <si>
    <t>Sholem Aleichem</t>
  </si>
  <si>
    <t>Raude auge i natta</t>
  </si>
  <si>
    <t>Katt på heitt blekktak</t>
  </si>
  <si>
    <t>04:48 psykose</t>
  </si>
  <si>
    <t>Kane, Sarah</t>
  </si>
  <si>
    <t>Pravda-gata</t>
  </si>
  <si>
    <t>[NRK radioteatret]</t>
  </si>
  <si>
    <t>Mairowitz, David Zane</t>
  </si>
  <si>
    <t>Naken i Jerusalem</t>
  </si>
  <si>
    <t>892.41[S]</t>
  </si>
  <si>
    <t>Amichai, Yehuda</t>
  </si>
  <si>
    <t>Afro-Asiatic literatures, Semitic literatures</t>
  </si>
  <si>
    <t>Skjønnhetsdronninga</t>
  </si>
  <si>
    <t>[København]</t>
  </si>
  <si>
    <t>Riksteatret</t>
  </si>
  <si>
    <t>McDonagh, Martin</t>
  </si>
  <si>
    <t>Lind, Idar</t>
  </si>
  <si>
    <t>Bella Bloksberg</t>
  </si>
  <si>
    <t>Tun</t>
  </si>
  <si>
    <t>Paul, Korky</t>
  </si>
  <si>
    <t>Over grensene</t>
  </si>
  <si>
    <t>Khan, Uzma Aslam</t>
  </si>
  <si>
    <t>Forfang, Åsmund</t>
  </si>
  <si>
    <t>Kensukes rike</t>
  </si>
  <si>
    <t>Sundvor, Yngve</t>
  </si>
  <si>
    <t>V. og andre vers</t>
  </si>
  <si>
    <t>Harrison, Tony</t>
  </si>
  <si>
    <t>Ein sommars filmavis</t>
  </si>
  <si>
    <t>Slow Fire Press</t>
  </si>
  <si>
    <t>Coultas, Brenda</t>
  </si>
  <si>
    <t>Aasen, David</t>
  </si>
  <si>
    <t>Heime i det nye landet</t>
  </si>
  <si>
    <t>GAN Aschehoug</t>
  </si>
  <si>
    <t>Johansen, Inger</t>
  </si>
  <si>
    <t>Alice på eventyr under jorda</t>
  </si>
  <si>
    <t>Carroll, Lewis</t>
  </si>
  <si>
    <t>Psykose 4.48</t>
  </si>
  <si>
    <t>Ein seljars død</t>
  </si>
  <si>
    <t>Kvalem, Finn</t>
  </si>
  <si>
    <t>I den klare lufta</t>
  </si>
  <si>
    <t>Clark, Thomas A.</t>
  </si>
  <si>
    <t>Richard III</t>
  </si>
  <si>
    <t>Safirblå isfuglfryd</t>
  </si>
  <si>
    <t>Steven, Kenneth</t>
  </si>
  <si>
    <t>Othello</t>
  </si>
  <si>
    <t>Greina brotnar ikkje</t>
  </si>
  <si>
    <t>Wright, James</t>
  </si>
  <si>
    <t>Øglænd, Finn</t>
  </si>
  <si>
    <t>Om skog &amp; vatn</t>
  </si>
  <si>
    <t>Frosken og fuglesongen</t>
  </si>
  <si>
    <t>Velthuijs, Max</t>
  </si>
  <si>
    <t>Charlie og sjokoladefabrikken</t>
  </si>
  <si>
    <t>Frosken og den vide verda</t>
  </si>
  <si>
    <t>Spellemann på taket</t>
  </si>
  <si>
    <t>Stein i lomma</t>
  </si>
  <si>
    <t>Jones, Marie</t>
  </si>
  <si>
    <t>Ringdrotten</t>
  </si>
  <si>
    <t>Guten som kunne flyge</t>
  </si>
  <si>
    <t>Burger, Mary</t>
  </si>
  <si>
    <t>Må</t>
  </si>
  <si>
    <t>Iunker, Finn</t>
  </si>
  <si>
    <t>Desperate personar</t>
  </si>
  <si>
    <t>Fox, Paula</t>
  </si>
  <si>
    <t>Bakke, Tove</t>
  </si>
  <si>
    <t>Sonettar frå Kina</t>
  </si>
  <si>
    <t>828[S]</t>
  </si>
  <si>
    <t>Auden, W.H.</t>
  </si>
  <si>
    <t>English miscellaneous writings</t>
  </si>
  <si>
    <t>Pedro</t>
  </si>
  <si>
    <t>Bell, Krista</t>
  </si>
  <si>
    <t>Blødende hjerter</t>
  </si>
  <si>
    <t>Gyldendal Tiden</t>
  </si>
  <si>
    <t>808.81[S]</t>
  </si>
  <si>
    <t>Lovric, Michelle</t>
  </si>
  <si>
    <t>Rhetoric &amp; collections of literature</t>
  </si>
  <si>
    <t>Som de vil ha det</t>
  </si>
  <si>
    <t>Setesdalsforl.</t>
  </si>
  <si>
    <t>[Teatret vårt]</t>
  </si>
  <si>
    <t>New York-trilogien</t>
  </si>
  <si>
    <t>Auster, Paul</t>
  </si>
  <si>
    <t>Taksdal, Asgjerd</t>
  </si>
  <si>
    <t>Den største diamanten i verda (kriminelle lidenskapar)</t>
  </si>
  <si>
    <t>Motton, Gregory</t>
  </si>
  <si>
    <t>Dikt og songar</t>
  </si>
  <si>
    <t>Burns, Robert</t>
  </si>
  <si>
    <t>Kong Midas</t>
  </si>
  <si>
    <t>Croser, Josephine</t>
  </si>
  <si>
    <t>Skatten på Sjørøvarøya</t>
  </si>
  <si>
    <t>Farestveit, Johannes</t>
  </si>
  <si>
    <t>Jesus Krist superstar</t>
  </si>
  <si>
    <t>[Agder teater]</t>
  </si>
  <si>
    <t>Agder teater</t>
  </si>
  <si>
    <t>Lloyd Webber, Andrew</t>
  </si>
  <si>
    <t>Endreson, Bjørn</t>
  </si>
  <si>
    <t>Eit vilt tålmod har ført meg hit</t>
  </si>
  <si>
    <t>Rich, Adrienne</t>
  </si>
  <si>
    <t>Bellas nye datamaskin</t>
  </si>
  <si>
    <t>Bokbussdetektiven og mysteriet med dei forsvunne bøkene</t>
  </si>
  <si>
    <t>Sansom, Ian</t>
  </si>
  <si>
    <t>Bakken, Tove</t>
  </si>
  <si>
    <t>Speed</t>
  </si>
  <si>
    <t>[Det norske teatret]</t>
  </si>
  <si>
    <t>Mamet, David</t>
  </si>
  <si>
    <t>Hagen, Odd Christian</t>
  </si>
  <si>
    <t>Det store forsvinningsnummeret</t>
  </si>
  <si>
    <t>Signaturar av mangfaldige ting</t>
  </si>
  <si>
    <t>Hartley, Marsden</t>
  </si>
  <si>
    <t>Dei utruleg utrøyttelege gapparane frå Fripp</t>
  </si>
  <si>
    <t>Saunders, George</t>
  </si>
  <si>
    <t>Ikkje akkurat no</t>
  </si>
  <si>
    <t>Gladman, Renee</t>
  </si>
  <si>
    <t>Den tredje politimannen</t>
  </si>
  <si>
    <t>O'Brien, Flann</t>
  </si>
  <si>
    <t>Jomfrua i isen</t>
  </si>
  <si>
    <t>Norsk rikskringkasting, Radioteatret</t>
  </si>
  <si>
    <t>Peters, Ellis</t>
  </si>
  <si>
    <t>Fedras kjærleik</t>
  </si>
  <si>
    <t>Den sanne historia om Kelly-gjengen</t>
  </si>
  <si>
    <t>To hundar</t>
  </si>
  <si>
    <t>Weber, K.E.</t>
  </si>
  <si>
    <t>Morgondikt</t>
  </si>
  <si>
    <t>Bly, Robert</t>
  </si>
  <si>
    <t>Torvund, Helge</t>
  </si>
  <si>
    <t>Lomman full av stein</t>
  </si>
  <si>
    <t>Berg, Øyvind</t>
  </si>
  <si>
    <t>Hellwig, Hilda</t>
  </si>
  <si>
    <t>Meisterklasse</t>
  </si>
  <si>
    <t>McNally, Terrence</t>
  </si>
  <si>
    <t>Til Mai</t>
  </si>
  <si>
    <t>Carr, Marina</t>
  </si>
  <si>
    <t>Henrik IV</t>
  </si>
  <si>
    <t>Kjøkkenheisen  Landskap  Stille  Natt  Ingenmannsland</t>
  </si>
  <si>
    <t>Pinter, Harold</t>
  </si>
  <si>
    <t>Økland, Einar</t>
  </si>
  <si>
    <t>Heksene</t>
  </si>
  <si>
    <t>Wood, David</t>
  </si>
  <si>
    <t>Knivar i høner</t>
  </si>
  <si>
    <t>Mjølk av paradis</t>
  </si>
  <si>
    <t>Clare, John</t>
  </si>
  <si>
    <t>Å koma tilbake frå fienden</t>
  </si>
  <si>
    <t>Harjo, Joy</t>
  </si>
  <si>
    <t>Dundo Maroje</t>
  </si>
  <si>
    <t>Sypress</t>
  </si>
  <si>
    <t>891.822[S]</t>
  </si>
  <si>
    <t>Teige, Siri</t>
  </si>
  <si>
    <t>hrv</t>
  </si>
  <si>
    <t>East Indo-European &amp; Celtic literatures</t>
  </si>
  <si>
    <t>Romeo og Julie i Sarajevo</t>
  </si>
  <si>
    <t>Skagestad, Tove</t>
  </si>
  <si>
    <t>Stans denne natta</t>
  </si>
  <si>
    <t>891.821[S]</t>
  </si>
  <si>
    <t>Brkic, Merima Maja</t>
  </si>
  <si>
    <t>Avdal, Sølvfest</t>
  </si>
  <si>
    <t>Egilssoga</t>
  </si>
  <si>
    <t>839.68[S]</t>
  </si>
  <si>
    <t>Heggstad, Leiv</t>
  </si>
  <si>
    <t>non</t>
  </si>
  <si>
    <t>Other Germanic literatures</t>
  </si>
  <si>
    <t>Soga om Tristram og Isond</t>
  </si>
  <si>
    <t>Rindal, Magnus</t>
  </si>
  <si>
    <t>Legender frå mellomalderen</t>
  </si>
  <si>
    <t>839.608[S]</t>
  </si>
  <si>
    <t>Mundal, Else</t>
  </si>
  <si>
    <t>Soga om Gunnlaug Ormstunge</t>
  </si>
  <si>
    <t>Fjalestad, Jakob</t>
  </si>
  <si>
    <t>Edda</t>
  </si>
  <si>
    <t>839.61[S]</t>
  </si>
  <si>
    <t>Eggen, Erik</t>
  </si>
  <si>
    <t>Kongesoger</t>
  </si>
  <si>
    <t>Snorri Sturluson</t>
  </si>
  <si>
    <t>Magerøy, Hallvard</t>
  </si>
  <si>
    <t>Snorres kongesoger</t>
  </si>
  <si>
    <t>Schjøtt, Steinar</t>
  </si>
  <si>
    <t>Norrøne fornaldersoger</t>
  </si>
  <si>
    <t>Dreyer bok</t>
  </si>
  <si>
    <t>Flokenes, Kåre</t>
  </si>
  <si>
    <t>Snorre</t>
  </si>
  <si>
    <t>Milska : eit Maria-kvad frå islandsk seinmellomalder</t>
  </si>
  <si>
    <t>Knoff, Anne-Lise</t>
  </si>
  <si>
    <t>Njålssoga</t>
  </si>
  <si>
    <t>Liestøl, Aslak</t>
  </si>
  <si>
    <t>Den Lengste soga om Olav Tryggvason</t>
  </si>
  <si>
    <t>Dreyer</t>
  </si>
  <si>
    <t>De norske bokklubbene</t>
  </si>
  <si>
    <t>Hagland, Jan Ragnar</t>
  </si>
  <si>
    <t>Håvamål</t>
  </si>
  <si>
    <t>Mortensson-Egnund, Ivar</t>
  </si>
  <si>
    <t>Soga om Gisle Sursson</t>
  </si>
  <si>
    <t>Egedius, Halfdan</t>
  </si>
  <si>
    <t>Soga om Tord den hardbalne</t>
  </si>
  <si>
    <t>Erling Skjalgssonselskapet</t>
  </si>
  <si>
    <t>839.68[SU]</t>
  </si>
  <si>
    <t>Soga om laksdølane</t>
  </si>
  <si>
    <t>Fidjestøl, Bjarne</t>
  </si>
  <si>
    <t>Edda-kvede</t>
  </si>
  <si>
    <t>Morkinskinna</t>
  </si>
  <si>
    <t>Titlestad, Torgrim</t>
  </si>
  <si>
    <t>Den legendariske Olavssoga</t>
  </si>
  <si>
    <t>Slaget på Stiklestad</t>
  </si>
  <si>
    <t>Sverresoga</t>
  </si>
  <si>
    <t>Koht, Halvdan</t>
  </si>
  <si>
    <t>Voluspå</t>
  </si>
  <si>
    <t>Snorre for ungdom</t>
  </si>
  <si>
    <t>Soga om Håkon den gode</t>
  </si>
  <si>
    <t>Harald Rongevær forl.</t>
  </si>
  <si>
    <t>Doktor mot sin vilje</t>
  </si>
  <si>
    <t>Noregs ungdomslag</t>
  </si>
  <si>
    <t>842[S]</t>
  </si>
  <si>
    <t>Molière</t>
  </si>
  <si>
    <t>Håland, Tove Bryn</t>
  </si>
  <si>
    <t>fre</t>
  </si>
  <si>
    <t>Eg elska ho</t>
  </si>
  <si>
    <t>843[S]</t>
  </si>
  <si>
    <t>Gavalda, Anna</t>
  </si>
  <si>
    <t>French fiction</t>
  </si>
  <si>
    <t>Svimlande nær</t>
  </si>
  <si>
    <t>841[S]</t>
  </si>
  <si>
    <t>Brossard, Nicole</t>
  </si>
  <si>
    <t>French poetry</t>
  </si>
  <si>
    <t>Ørsmå gleder</t>
  </si>
  <si>
    <t>Delerm, Philippe</t>
  </si>
  <si>
    <t>Lykka er ein sjeldan fugl</t>
  </si>
  <si>
    <t>Saman er ein mindre aleine</t>
  </si>
  <si>
    <t>Cyrano de Bergerac</t>
  </si>
  <si>
    <t>Rostand, Edmond</t>
  </si>
  <si>
    <t>Mødreskolen</t>
  </si>
  <si>
    <t>[Noregs ungdomslag]</t>
  </si>
  <si>
    <t>Marivaux, Pierre Carlet de Chamblain de</t>
  </si>
  <si>
    <t>Steinnes, Svanaug</t>
  </si>
  <si>
    <t>Hund! hund!</t>
  </si>
  <si>
    <t>843[SU]</t>
  </si>
  <si>
    <t>Pennac, Daniel</t>
  </si>
  <si>
    <t>Roberto Zucco</t>
  </si>
  <si>
    <t>Koltès, Bernard-Marie</t>
  </si>
  <si>
    <t>Bokklubben</t>
  </si>
  <si>
    <t>Trass i alt</t>
  </si>
  <si>
    <t>Beckett, Samuel</t>
  </si>
  <si>
    <t>Den skallete songarinna</t>
  </si>
  <si>
    <t>Ionesco, Eugène</t>
  </si>
  <si>
    <t>Selvig, Svein</t>
  </si>
  <si>
    <t>Ophelias bok</t>
  </si>
  <si>
    <t>Perrier, Anne</t>
  </si>
  <si>
    <t>Helseth, Sigurd</t>
  </si>
  <si>
    <t>Kjærleikens triumf</t>
  </si>
  <si>
    <t>Gullfisken</t>
  </si>
  <si>
    <t>Eide</t>
  </si>
  <si>
    <t>Le Clézio, J.M.G.</t>
  </si>
  <si>
    <t>Bodskapet til Maria</t>
  </si>
  <si>
    <t>Claudel, Paul</t>
  </si>
  <si>
    <t>Osnabrück</t>
  </si>
  <si>
    <t>Cixous, Hélène</t>
  </si>
  <si>
    <t>Kleppen, Grete</t>
  </si>
  <si>
    <t>Eg vil at nokon skal vente på meg</t>
  </si>
  <si>
    <t>Aldri tilfreds</t>
  </si>
  <si>
    <t>Desplechin, Marie</t>
  </si>
  <si>
    <t>Tartuffe, eller Den skinheilage</t>
  </si>
  <si>
    <t>Savannah Bay</t>
  </si>
  <si>
    <t>Duras, Marguerite</t>
  </si>
  <si>
    <t>Jørgen Svime, eller Den forvirra ektemannen</t>
  </si>
  <si>
    <t>Stolane</t>
  </si>
  <si>
    <t>Ein vakker dag</t>
  </si>
  <si>
    <t>Skåpet var av eik</t>
  </si>
  <si>
    <t>Guillevic, Eugène</t>
  </si>
  <si>
    <t>Lie, Arvid Torgeir</t>
  </si>
  <si>
    <t>Kong Tsongors død</t>
  </si>
  <si>
    <t>Gaudé, Laurent</t>
  </si>
  <si>
    <t>Gelsomina</t>
  </si>
  <si>
    <t>Dupoyet, Pierrette</t>
  </si>
  <si>
    <t>Fellini, Federico</t>
  </si>
  <si>
    <t>Fedra</t>
  </si>
  <si>
    <t>Racine, Jean</t>
  </si>
  <si>
    <t>Misantropen</t>
  </si>
  <si>
    <t>Caligula</t>
  </si>
  <si>
    <t>Camus, Albert</t>
  </si>
  <si>
    <t>Stengde dører</t>
  </si>
  <si>
    <t>Sartre, Jean-Paul</t>
  </si>
  <si>
    <t>Tusvik, Marit</t>
  </si>
  <si>
    <t>For eit godt ord</t>
  </si>
  <si>
    <t>Sarraute, Nathalie</t>
  </si>
  <si>
    <t>Don Juan</t>
  </si>
  <si>
    <t>Dagskilje</t>
  </si>
  <si>
    <t>Privattimen</t>
  </si>
  <si>
    <t>Den første slurken med øl</t>
  </si>
  <si>
    <t>Hustruskolen</t>
  </si>
  <si>
    <t>Sæter, Bjørn</t>
  </si>
  <si>
    <t>Vigmostad &amp; Bjørke</t>
  </si>
  <si>
    <t>Doktor mot vilje</t>
  </si>
  <si>
    <t>Like sint</t>
  </si>
  <si>
    <t>Forelska</t>
  </si>
  <si>
    <t>Dautremer, Rébecca</t>
  </si>
  <si>
    <t>Frendelaus</t>
  </si>
  <si>
    <t>Malot, Hector</t>
  </si>
  <si>
    <t>Horvei, Johannes</t>
  </si>
  <si>
    <t>Det vondes blomar</t>
  </si>
  <si>
    <t>Baudelaire, Charles</t>
  </si>
  <si>
    <t>Dahlen, Haakon</t>
  </si>
  <si>
    <t>Den melankolske vaktposten</t>
  </si>
  <si>
    <t>Apollinaire, Guillaume</t>
  </si>
  <si>
    <t>Blendverk</t>
  </si>
  <si>
    <t>Pariserbilete</t>
  </si>
  <si>
    <t>Stiløvingar</t>
  </si>
  <si>
    <t>Pax</t>
  </si>
  <si>
    <t>848[S]</t>
  </si>
  <si>
    <t>Queneau, Raymond</t>
  </si>
  <si>
    <t>French miscellaneous writings</t>
  </si>
  <si>
    <t>Menneskerøysta</t>
  </si>
  <si>
    <t>Cocteau, Jean</t>
  </si>
  <si>
    <t>Ein båt i rus og andre dikt</t>
  </si>
  <si>
    <t>Rimbaud, Arthur</t>
  </si>
  <si>
    <t>Tartuffe</t>
  </si>
  <si>
    <t>Orestien</t>
  </si>
  <si>
    <t>Aischylos</t>
  </si>
  <si>
    <t>Ei verdsomsegling under havet</t>
  </si>
  <si>
    <t>Verne, Jules</t>
  </si>
  <si>
    <t>Ramstad, Petrine</t>
  </si>
  <si>
    <t>Giftarmål med tvang (Gift med eit slag)</t>
  </si>
  <si>
    <t>Prinsesse Turandot</t>
  </si>
  <si>
    <t>842[SU]</t>
  </si>
  <si>
    <t>Sates, Claude</t>
  </si>
  <si>
    <t>Den underjordiske byen</t>
  </si>
  <si>
    <t>Gull</t>
  </si>
  <si>
    <t>Det store spørsmålet</t>
  </si>
  <si>
    <t>Mangschou</t>
  </si>
  <si>
    <t>Erlbruch, Wolf</t>
  </si>
  <si>
    <t>Reisa og andre dikt</t>
  </si>
  <si>
    <t>Spleen og ideal</t>
  </si>
  <si>
    <t>Etter regnet</t>
  </si>
  <si>
    <t>849.92[S]</t>
  </si>
  <si>
    <t>Belbel, Sergi</t>
  </si>
  <si>
    <t>cat</t>
  </si>
  <si>
    <t>Så lenge skuta kan gå</t>
  </si>
  <si>
    <t>839.72[S]</t>
  </si>
  <si>
    <t>Taube, Evert</t>
  </si>
  <si>
    <t>swe</t>
  </si>
  <si>
    <t>Bø og Bæ til sjøs</t>
  </si>
  <si>
    <t>839.73[SU]</t>
  </si>
  <si>
    <t>Landström, Olof</t>
  </si>
  <si>
    <t>Pinne, Grisen og vesle vennen</t>
  </si>
  <si>
    <t>Anderson, Lena</t>
  </si>
  <si>
    <t>Tekstmanus til: Skjergardsflørt</t>
  </si>
  <si>
    <t>Wahlberg, Gideon</t>
  </si>
  <si>
    <t>Nilsson, Stig</t>
  </si>
  <si>
    <t>Malla handlar</t>
  </si>
  <si>
    <t>Eriksson, Eva</t>
  </si>
  <si>
    <t>Jensen, Eva</t>
  </si>
  <si>
    <t>Smak på denne!</t>
  </si>
  <si>
    <t>Åkerblom, Gull</t>
  </si>
  <si>
    <t>Emil i Lønneberget</t>
  </si>
  <si>
    <t>839.72[SU]</t>
  </si>
  <si>
    <t>Lindgren, Astrid</t>
  </si>
  <si>
    <t>Burre-Busses eventyr i Afrika</t>
  </si>
  <si>
    <t>Granér, Cyrus</t>
  </si>
  <si>
    <t>Eggen, Arnljot</t>
  </si>
  <si>
    <t>Frøken Julie</t>
  </si>
  <si>
    <t>Strindberg, August</t>
  </si>
  <si>
    <t>Kose-putas siste strid</t>
  </si>
  <si>
    <t>Jaensson, Håkan</t>
  </si>
  <si>
    <t>Skjelpadda og kolanøttene</t>
  </si>
  <si>
    <t>Lundström, Janne</t>
  </si>
  <si>
    <t>Tislevoll, Jan R.</t>
  </si>
  <si>
    <t>Kven skal trøyste Knøttet?</t>
  </si>
  <si>
    <t>Hordaland teater</t>
  </si>
  <si>
    <t>Jansson, Tove</t>
  </si>
  <si>
    <t>Tuften, Sissel</t>
  </si>
  <si>
    <t>Peter Pan</t>
  </si>
  <si>
    <t>Simberg, Anna</t>
  </si>
  <si>
    <t>Askelund, Jan</t>
  </si>
  <si>
    <t>Lussekatt i lucianatt</t>
  </si>
  <si>
    <t>Mio, min Mio</t>
  </si>
  <si>
    <t>Brørne Østermanns huskors</t>
  </si>
  <si>
    <t>Wennersten, Oscar</t>
  </si>
  <si>
    <t>Karlsen, Øyvind Bremer</t>
  </si>
  <si>
    <t>Bø og Bæ i skogen</t>
  </si>
  <si>
    <t>Prikk og Flekk snør ned</t>
  </si>
  <si>
    <t>Geffenblad, Lotta</t>
  </si>
  <si>
    <t>Grytten, Frode</t>
  </si>
  <si>
    <t>Jamen, Benny</t>
  </si>
  <si>
    <t>Lindgren, Barbro</t>
  </si>
  <si>
    <t>Versto, Stein</t>
  </si>
  <si>
    <t>Påls smokk</t>
  </si>
  <si>
    <t>Breie, Anna</t>
  </si>
  <si>
    <t>Stian går på posthuset</t>
  </si>
  <si>
    <t>Endelig fest!</t>
  </si>
  <si>
    <t>Lundsten, Camilla</t>
  </si>
  <si>
    <t>Fem glupe gubbar</t>
  </si>
  <si>
    <t>Storskriftforl.</t>
  </si>
  <si>
    <t>Aronsson, Siv</t>
  </si>
  <si>
    <t>Norheim, Åsta</t>
  </si>
  <si>
    <t>Stå på, Matilda Markstrøm!</t>
  </si>
  <si>
    <t>Holm, Annika</t>
  </si>
  <si>
    <t>Wærum, Kari</t>
  </si>
  <si>
    <t>Bø og Bæ i festhumør</t>
  </si>
  <si>
    <t>Rufsi</t>
  </si>
  <si>
    <t>Danielsson, Karin</t>
  </si>
  <si>
    <t>Aamot, Sissel</t>
  </si>
  <si>
    <t>Ei natt lenger enn livet</t>
  </si>
  <si>
    <t>Norén, Lars</t>
  </si>
  <si>
    <t>Skagestad, Tormod</t>
  </si>
  <si>
    <t>Dødsdansen</t>
  </si>
  <si>
    <t>Modige Karl Gustav</t>
  </si>
  <si>
    <t>Lagercrantz, Rose</t>
  </si>
  <si>
    <t>Anton på eventyr i kyrkja</t>
  </si>
  <si>
    <t>Svalin Gunnarsson, Elisabeth</t>
  </si>
  <si>
    <t>Paulsen, Astrid L.</t>
  </si>
  <si>
    <t>Vesle Pinne får besøk</t>
  </si>
  <si>
    <t>839.71[SU]</t>
  </si>
  <si>
    <t>Pizza med skinke og sjampinjong</t>
  </si>
  <si>
    <t>Robins eventyrlege dag</t>
  </si>
  <si>
    <t>Peterson, Hans</t>
  </si>
  <si>
    <t>Burre-Busses reise til Nordpolen</t>
  </si>
  <si>
    <t>Malin og kong Gurra</t>
  </si>
  <si>
    <t>Pohl, Peter</t>
  </si>
  <si>
    <t>Bolstad, Kari</t>
  </si>
  <si>
    <t>Den ville ungen</t>
  </si>
  <si>
    <t>Den kloke mannen</t>
  </si>
  <si>
    <t>Potetgull og graffiti</t>
  </si>
  <si>
    <t>Prikk og Flekk ser stjerner</t>
  </si>
  <si>
    <t>Eggen, Jo</t>
  </si>
  <si>
    <t>Nøff nøff, Benny</t>
  </si>
  <si>
    <t>Bø og Bæ gjer reint</t>
  </si>
  <si>
    <t>Endelig regn!</t>
  </si>
  <si>
    <t>Roseli, kjæraste Rosa</t>
  </si>
  <si>
    <t>Lundgren, Max</t>
  </si>
  <si>
    <t>Malla syklar</t>
  </si>
  <si>
    <t>Prikk og Flekk bakar</t>
  </si>
  <si>
    <t>For ei suppe!</t>
  </si>
  <si>
    <t>Mio min Mio</t>
  </si>
  <si>
    <t>Påls bleie</t>
  </si>
  <si>
    <t>Endelig god natt!</t>
  </si>
  <si>
    <t>Apens tante</t>
  </si>
  <si>
    <t>Bladini, Osborn</t>
  </si>
  <si>
    <t>Påls bamse</t>
  </si>
  <si>
    <t>Dalflyen, Gudny</t>
  </si>
  <si>
    <t>Tulla og bollane</t>
  </si>
  <si>
    <t>Bøddelen</t>
  </si>
  <si>
    <t>Guten og Stjerna</t>
  </si>
  <si>
    <t>November</t>
  </si>
  <si>
    <t>Neimen, Benny</t>
  </si>
  <si>
    <t>Tulla og mormor</t>
  </si>
  <si>
    <t>Meisterdetektiven Blomkvist og vesle Rasmus</t>
  </si>
  <si>
    <t>Breckan, Eldor Martin</t>
  </si>
  <si>
    <t>Prikk og Flekk tanntryllar</t>
  </si>
  <si>
    <t>Elvira Madigan</t>
  </si>
  <si>
    <t>Malvius, Georg</t>
  </si>
  <si>
    <t>Påls balje</t>
  </si>
  <si>
    <t>Hanen Hasse på friarferd</t>
  </si>
  <si>
    <t>Lind, Mecka</t>
  </si>
  <si>
    <t>Pinne har ein løyndom</t>
  </si>
  <si>
    <t>Meisterdetektiven Blomkvist</t>
  </si>
  <si>
    <t>Den mørke skogen</t>
  </si>
  <si>
    <t>Modig, Cecilia</t>
  </si>
  <si>
    <t>Kirknes, Rolf</t>
  </si>
  <si>
    <t>Boogie woogie</t>
  </si>
  <si>
    <t>Göthe, Staffan</t>
  </si>
  <si>
    <t>Prikk og Flekk på prikknik</t>
  </si>
  <si>
    <t>Her er det vesle huset</t>
  </si>
  <si>
    <t>Boka om Benny</t>
  </si>
  <si>
    <t>Brødrene Østermanns huskors</t>
  </si>
  <si>
    <t>[Den nationale scene]</t>
  </si>
  <si>
    <t>Bø og Bæ i vinden</t>
  </si>
  <si>
    <t>Påls fire bøker</t>
  </si>
  <si>
    <t>Bø og Bæ blir våte</t>
  </si>
  <si>
    <t>Rosa flytter til byen</t>
  </si>
  <si>
    <t>3 monodramaer</t>
  </si>
  <si>
    <t>Frostenson, Katarina</t>
  </si>
  <si>
    <t>Endelig mat!</t>
  </si>
  <si>
    <t>Vesle Anne og tryllehatten</t>
  </si>
  <si>
    <t>Sandberg, Inger</t>
  </si>
  <si>
    <t>Evert!</t>
  </si>
  <si>
    <t>Bexell, Eva</t>
  </si>
  <si>
    <t>Eventyret om flodhesten</t>
  </si>
  <si>
    <t>Norlin, Arne</t>
  </si>
  <si>
    <t>Eit draumspel</t>
  </si>
  <si>
    <t>Påls bil</t>
  </si>
  <si>
    <t>Keisaren av Portugalia</t>
  </si>
  <si>
    <t>Wiehe, Mikael</t>
  </si>
  <si>
    <t>Au, det gjer vondt!</t>
  </si>
  <si>
    <t>Davik, Ingebrigt</t>
  </si>
  <si>
    <t>Hamburgar og Coca-Cola</t>
  </si>
  <si>
    <t>Ein utstoppa hund</t>
  </si>
  <si>
    <t>Dahl, Arild</t>
  </si>
  <si>
    <t>11 dikt om einsemd</t>
  </si>
  <si>
    <t>Flamme forl.</t>
  </si>
  <si>
    <t>839.71[S]</t>
  </si>
  <si>
    <t>Åkesson, Sonja</t>
  </si>
  <si>
    <t>Øyehaug, Gunnhild</t>
  </si>
  <si>
    <t>Morire di classe</t>
  </si>
  <si>
    <t>Stians nye lue</t>
  </si>
  <si>
    <t>Revehiet barnehage</t>
  </si>
  <si>
    <t>Widerberg, Siv</t>
  </si>
  <si>
    <t>Løvåsen, Sigmund</t>
  </si>
  <si>
    <t>Standard selection</t>
  </si>
  <si>
    <t>Pleijel, Agneta</t>
  </si>
  <si>
    <t>Store syster, Vesle bror</t>
  </si>
  <si>
    <t>Stian hos frisøren</t>
  </si>
  <si>
    <t>Rosa på dagheim</t>
  </si>
  <si>
    <t>Tordivelen flyg i skyminga</t>
  </si>
  <si>
    <t>Gripe, Maria</t>
  </si>
  <si>
    <t>Eskeland, Ivar</t>
  </si>
  <si>
    <t>Teiing, stumhet, togn</t>
  </si>
  <si>
    <t>839.73[S]</t>
  </si>
  <si>
    <t>Larsmo, Ola</t>
  </si>
  <si>
    <t>Gjer meg bra, sa Marius</t>
  </si>
  <si>
    <t>Fire høner og ein hane</t>
  </si>
  <si>
    <t>Landström, Lena</t>
  </si>
  <si>
    <t>Burre-Busse i trollskogen</t>
  </si>
  <si>
    <t>Bø og Bæ får besøk</t>
  </si>
  <si>
    <t>Familien Bra</t>
  </si>
  <si>
    <t>Pirinen, Joakim</t>
  </si>
  <si>
    <t>Bella i barnehagen</t>
  </si>
  <si>
    <t>Brum</t>
  </si>
  <si>
    <t>Uno</t>
  </si>
  <si>
    <t>Meisterdetektiven Blomkvist og vennene hans</t>
  </si>
  <si>
    <t>Labans og Labolinas jul</t>
  </si>
  <si>
    <t>Pip</t>
  </si>
  <si>
    <t>Tveit, Anne Ryssdal</t>
  </si>
  <si>
    <t>Det vesle lokomotivet Rosa</t>
  </si>
  <si>
    <t>Pippi Langstrømpe</t>
  </si>
  <si>
    <t>Prikk og Flekk blir hemmelege</t>
  </si>
  <si>
    <t>Vatn og brød</t>
  </si>
  <si>
    <t>Mira tek revansj</t>
  </si>
  <si>
    <t>Hallberg, Lin</t>
  </si>
  <si>
    <t>Alle vi barna i Bakkebygrenda</t>
  </si>
  <si>
    <t>Vitne</t>
  </si>
  <si>
    <t>Izakson, Miron C.</t>
  </si>
  <si>
    <t>Bjørlykke, Oskar Stein</t>
  </si>
  <si>
    <t>heb</t>
  </si>
  <si>
    <t>Elskar, elskar ikkje</t>
  </si>
  <si>
    <t>808.88[SU]</t>
  </si>
  <si>
    <t>Rosse, Øyvind</t>
  </si>
  <si>
    <t>mul</t>
  </si>
  <si>
    <t>Emosjonell førstehjelp</t>
  </si>
  <si>
    <t>Det har kommit en komet</t>
  </si>
  <si>
    <t>Eriksson &amp; Lindgren</t>
  </si>
  <si>
    <t>839.5041[SU]</t>
  </si>
  <si>
    <t>Belsvik, Inger Lise</t>
  </si>
  <si>
    <t>Det har komme ein komet</t>
  </si>
  <si>
    <t>Den Beste biletboka</t>
  </si>
  <si>
    <t>808.83[SU]</t>
  </si>
  <si>
    <t>Vesaas, Guri</t>
  </si>
  <si>
    <t>Passord: spøkelse</t>
  </si>
  <si>
    <t>Dikt i umsetjing</t>
  </si>
  <si>
    <t>Hauge, Olav H.</t>
  </si>
  <si>
    <t>Betonghagen</t>
  </si>
  <si>
    <t>839.821[S]</t>
  </si>
  <si>
    <t>God påske, Arne Brian!</t>
  </si>
  <si>
    <t>839.823[SU]</t>
  </si>
  <si>
    <t>nob</t>
  </si>
  <si>
    <t>Karius og Baktus</t>
  </si>
  <si>
    <t>Av måneskin gror det ingenting</t>
  </si>
  <si>
    <t>839.822[S]</t>
  </si>
  <si>
    <t>United</t>
  </si>
  <si>
    <t>Eit år med Ring</t>
  </si>
  <si>
    <t>Sverres veslesyster skal døypast</t>
  </si>
  <si>
    <t>Flekken</t>
  </si>
  <si>
    <t>Et dukkehjem</t>
  </si>
  <si>
    <t>Bamsen er borte</t>
  </si>
  <si>
    <t>Legg bi og plystre etter vinden</t>
  </si>
  <si>
    <t>Du er deilig</t>
  </si>
  <si>
    <t>Stenersens forl.</t>
  </si>
  <si>
    <t>808.8[S]</t>
  </si>
  <si>
    <t>Engh, Venke Agnes</t>
  </si>
  <si>
    <t>Fly-fly</t>
  </si>
  <si>
    <t>891.812[SU]</t>
  </si>
  <si>
    <t>Todorov, Jordan</t>
  </si>
  <si>
    <t>Ørvig, Anne</t>
  </si>
  <si>
    <t>bul</t>
  </si>
  <si>
    <t>Historia om den blå planeten</t>
  </si>
  <si>
    <t>Karviland forl.</t>
  </si>
  <si>
    <t>839.693[SU]</t>
  </si>
  <si>
    <t>Andri Snær Magnason</t>
  </si>
  <si>
    <t>ice</t>
  </si>
  <si>
    <t>Kristi helferd</t>
  </si>
  <si>
    <t>839.691[S]</t>
  </si>
  <si>
    <t>Jón Arason</t>
  </si>
  <si>
    <t>Orgland, Ivar</t>
  </si>
  <si>
    <t>Pappa er best</t>
  </si>
  <si>
    <t>Björk Bjarkadóttir</t>
  </si>
  <si>
    <t>Mamma er best</t>
  </si>
  <si>
    <t>Salka Valka</t>
  </si>
  <si>
    <t>839.692[S]</t>
  </si>
  <si>
    <t>Stefán Baldursson</t>
  </si>
  <si>
    <t>Odar av Horats</t>
  </si>
  <si>
    <t>871[S]</t>
  </si>
  <si>
    <t>Horatius Flaccus, Quintus</t>
  </si>
  <si>
    <t>lat</t>
  </si>
  <si>
    <t>Latin poetry</t>
  </si>
  <si>
    <t>Dansetimar for eldre og vidarekomne</t>
  </si>
  <si>
    <t>891.863[S]</t>
  </si>
  <si>
    <t>Hrabal, Bohumil</t>
  </si>
  <si>
    <t>Obrestad, Tor</t>
  </si>
  <si>
    <t>cze</t>
  </si>
  <si>
    <t>Aleine med dagane</t>
  </si>
  <si>
    <t>892.71[S]</t>
  </si>
  <si>
    <t>Tuqán, Fadwa</t>
  </si>
  <si>
    <t>ara</t>
  </si>
  <si>
    <t>Horoskop: fengsel? Horoskop: kjærleik</t>
  </si>
  <si>
    <t>Rajih, Mansur Muhammad Ahmad</t>
  </si>
  <si>
    <t>Bernarda Albas hus</t>
  </si>
  <si>
    <t>862[S]</t>
  </si>
  <si>
    <t>García Lorca, Federico</t>
  </si>
  <si>
    <t>spa</t>
  </si>
  <si>
    <t>Alle skulle bli dronning</t>
  </si>
  <si>
    <t>861[S]</t>
  </si>
  <si>
    <t>Mistral, Gabriela</t>
  </si>
  <si>
    <t>Spanish poetry</t>
  </si>
  <si>
    <t>Månen har tenner av elfenbein</t>
  </si>
  <si>
    <t>Maktapparatet</t>
  </si>
  <si>
    <t>Pavlovsky, Eduardo</t>
  </si>
  <si>
    <t>Nesse, Åse-Marie                          '</t>
  </si>
  <si>
    <t>Kapteinens vers</t>
  </si>
  <si>
    <t>Neruda, Pablo</t>
  </si>
  <si>
    <t>Fløgstad, Kjartan</t>
  </si>
  <si>
    <t>Frøken Rosita, eller Blomsterspråket  Bernarda Albas hus</t>
  </si>
  <si>
    <t>Den norske lyrikklubben</t>
  </si>
  <si>
    <t>Kaldt fortalt</t>
  </si>
  <si>
    <t>863[S]</t>
  </si>
  <si>
    <t>Piñera, Virgilio</t>
  </si>
  <si>
    <t>Spanish fiction</t>
  </si>
  <si>
    <t>Appelsin og sitron</t>
  </si>
  <si>
    <t>861[SU]</t>
  </si>
  <si>
    <t>Historia om ein landsby</t>
  </si>
  <si>
    <t>Vega, Lope de</t>
  </si>
  <si>
    <t>Psst!</t>
  </si>
  <si>
    <t>Tom Rasmussen produksjoner</t>
  </si>
  <si>
    <t>González Castañer, Ismael</t>
  </si>
  <si>
    <t>To cubanske</t>
  </si>
  <si>
    <t>Svart vin</t>
  </si>
  <si>
    <t>Loynaz, Dulce María</t>
  </si>
  <si>
    <t>Slangens gåve</t>
  </si>
  <si>
    <t>839.813[SU]</t>
  </si>
  <si>
    <t>Kaaberbøl, Lene</t>
  </si>
  <si>
    <t>dan</t>
  </si>
  <si>
    <t>Dei tre revane</t>
  </si>
  <si>
    <t>Hermansen, Knud</t>
  </si>
  <si>
    <t>Skammarteiknet</t>
  </si>
  <si>
    <t>Guten med sølvhjelmen</t>
  </si>
  <si>
    <t>Kvist, Hanne</t>
  </si>
  <si>
    <t>Snart kjem tida</t>
  </si>
  <si>
    <t>839.812[S]</t>
  </si>
  <si>
    <t>Knutzon, Line</t>
  </si>
  <si>
    <t>Skammarens dotter</t>
  </si>
  <si>
    <t>Ordet</t>
  </si>
  <si>
    <t>Munk, Kaj</t>
  </si>
  <si>
    <t>Stian på sirkus</t>
  </si>
  <si>
    <t>Jensen, Jørn</t>
  </si>
  <si>
    <t>Bjørkum, Bjarte</t>
  </si>
  <si>
    <t>Å gi seg bort</t>
  </si>
  <si>
    <t>839.813[S]</t>
  </si>
  <si>
    <t>Tafdrup, Pia</t>
  </si>
  <si>
    <t>Ebbe og mor</t>
  </si>
  <si>
    <t>Pedagogisk psykologisk forl.</t>
  </si>
  <si>
    <t>Hansen, Hans Chr.</t>
  </si>
  <si>
    <t>Balstad, Erling</t>
  </si>
  <si>
    <t>Den vesle grå mannen</t>
  </si>
  <si>
    <t>Kasper på skulelaget</t>
  </si>
  <si>
    <t>Sølvhesten</t>
  </si>
  <si>
    <t>Mordet på Halland</t>
  </si>
  <si>
    <t>Juul, Pia</t>
  </si>
  <si>
    <t>Stian på sykkelløp</t>
  </si>
  <si>
    <t>Carstens, Camilla</t>
  </si>
  <si>
    <t>Braaten, Oskar</t>
  </si>
  <si>
    <t>Ille frå det siste isflaket</t>
  </si>
  <si>
    <t>[Volda]</t>
  </si>
  <si>
    <t>Ura forl.</t>
  </si>
  <si>
    <t>Ulstein, Jan Ove</t>
  </si>
  <si>
    <t>To tjuvar og ei skinke</t>
  </si>
  <si>
    <t>Skammarkrigen</t>
  </si>
  <si>
    <t>Vest e best</t>
  </si>
  <si>
    <t>Lysbakken, Sigurd</t>
  </si>
  <si>
    <t>Reisa til dei grøne skuggane</t>
  </si>
  <si>
    <t>Methling, Finn</t>
  </si>
  <si>
    <t>Moder Sjustjerne</t>
  </si>
  <si>
    <t>Heinesen, William</t>
  </si>
  <si>
    <t>Gummi-Tarzan</t>
  </si>
  <si>
    <t>Kirkegaard, Ole Lund</t>
  </si>
  <si>
    <t>Skuggeporten</t>
  </si>
  <si>
    <t>Sprengstoff-eksperten</t>
  </si>
  <si>
    <t>Varmer, Hjørdis</t>
  </si>
  <si>
    <t>Isfuglen</t>
  </si>
  <si>
    <t>Hermelinen</t>
  </si>
  <si>
    <t>Lasse i Noas ark</t>
  </si>
  <si>
    <t>Gullregn</t>
  </si>
  <si>
    <t>Bodelsen, Anders</t>
  </si>
  <si>
    <t>Lie, Erik</t>
  </si>
  <si>
    <t>Hunden som trudde han var katt</t>
  </si>
  <si>
    <t>Svejstrup, Josefina Protacio</t>
  </si>
  <si>
    <t>Den norske bokhandlerforening</t>
  </si>
  <si>
    <t>Stian sin far misser hovudet</t>
  </si>
  <si>
    <t>2 dikt om modernitet</t>
  </si>
  <si>
    <t>869.1[S]</t>
  </si>
  <si>
    <t>Pessoa, Fernando</t>
  </si>
  <si>
    <t>Vidnes, Øystein</t>
  </si>
  <si>
    <t>por</t>
  </si>
  <si>
    <t>Portuguese literature</t>
  </si>
  <si>
    <t>Sjøfarar</t>
  </si>
  <si>
    <t>Andresen, Sophia de Mello Breyner</t>
  </si>
  <si>
    <t>Tigeren</t>
  </si>
  <si>
    <t>Totalteatret</t>
  </si>
  <si>
    <t>852[S]</t>
  </si>
  <si>
    <t>Fo, Dario</t>
  </si>
  <si>
    <t>Bjørn, Stein</t>
  </si>
  <si>
    <t>ita</t>
  </si>
  <si>
    <t>Dekameronen I-III</t>
  </si>
  <si>
    <t>853[S]</t>
  </si>
  <si>
    <t>Boccaccio, Giovanni</t>
  </si>
  <si>
    <t>Ulleland, Magnus</t>
  </si>
  <si>
    <t>Italian fiction</t>
  </si>
  <si>
    <t>Den guddomlege komedien</t>
  </si>
  <si>
    <t>851[S]</t>
  </si>
  <si>
    <t>Dante Alighieri</t>
  </si>
  <si>
    <t>Eide, Anderz</t>
  </si>
  <si>
    <t>Italian poetry</t>
  </si>
  <si>
    <t>Helvetet</t>
  </si>
  <si>
    <t>Kjærleik og magi i mammas kjøkken</t>
  </si>
  <si>
    <t>Wertmüller, Lina</t>
  </si>
  <si>
    <t>Martin og bestefar</t>
  </si>
  <si>
    <t>853[SU]</t>
  </si>
  <si>
    <t>Piumini, Roberto</t>
  </si>
  <si>
    <t>Den guddommelege komedie</t>
  </si>
  <si>
    <t>Pericle den svarte</t>
  </si>
  <si>
    <t>Ferrandino, Giuseppe</t>
  </si>
  <si>
    <t>Sørsdal, Kristin</t>
  </si>
  <si>
    <t>Nasen som stakk av</t>
  </si>
  <si>
    <t>Rodari, Gianni</t>
  </si>
  <si>
    <t>Lone, Steinar</t>
  </si>
  <si>
    <t>Bestefar var eit kirsebærtre</t>
  </si>
  <si>
    <t>Nanetti, Angela</t>
  </si>
  <si>
    <t>Skiringsheimen</t>
  </si>
  <si>
    <t>Vanlagnad</t>
  </si>
  <si>
    <t>Fenoglio, Beppe</t>
  </si>
  <si>
    <t>Vi betale ikkje!!</t>
  </si>
  <si>
    <t>[Nordland teater]</t>
  </si>
  <si>
    <t>Norland teater</t>
  </si>
  <si>
    <t>Sandborgh, Per</t>
  </si>
  <si>
    <t>Ekteskap basta</t>
  </si>
  <si>
    <t>Goldoni, Carlo</t>
  </si>
  <si>
    <t>Paradiset</t>
  </si>
  <si>
    <t>Fablar i telefonen og andre forteljingar</t>
  </si>
  <si>
    <t>Dei trulovade</t>
  </si>
  <si>
    <t>Manzoni, Alessandro</t>
  </si>
  <si>
    <t>Med hjartet mellom tennene</t>
  </si>
  <si>
    <t>Lazic, Radmila</t>
  </si>
  <si>
    <t>Seim, Torstein Stiegler</t>
  </si>
  <si>
    <t>srp</t>
  </si>
  <si>
    <t>Beogradtrilogien</t>
  </si>
  <si>
    <t>Åtte moderne no-drama</t>
  </si>
  <si>
    <t>895.62[S]</t>
  </si>
  <si>
    <t>Mishima, Yukio</t>
  </si>
  <si>
    <t>Peters, Anne Lande</t>
  </si>
  <si>
    <t>jpn</t>
  </si>
  <si>
    <t>Literatures of East &amp; Southeast Asia</t>
  </si>
  <si>
    <t>Ein annan fødsel</t>
  </si>
  <si>
    <t>891.5[S]</t>
  </si>
  <si>
    <t>Esfandiari, Ardashir</t>
  </si>
  <si>
    <t>per</t>
  </si>
  <si>
    <t>Den blinde ugla</t>
  </si>
  <si>
    <t>Ruba'iyat</t>
  </si>
  <si>
    <t>839.6993[S]</t>
  </si>
  <si>
    <t>Jensen, Carl Jóhan</t>
  </si>
  <si>
    <t>Moa, Lars</t>
  </si>
  <si>
    <t>fao</t>
  </si>
  <si>
    <t>Símun Sámal</t>
  </si>
  <si>
    <t>Snøfugl</t>
  </si>
  <si>
    <t>839.6993[SU]</t>
  </si>
  <si>
    <t>Næs, Martin</t>
  </si>
  <si>
    <t>Glansbildesamlarane</t>
  </si>
  <si>
    <t>Heinesen</t>
  </si>
  <si>
    <t>Nielsen, Jóanes</t>
  </si>
  <si>
    <t>Det fins dei som tar månelys på alvor</t>
  </si>
  <si>
    <t>Orkana</t>
  </si>
  <si>
    <t>839.6991[S]</t>
  </si>
  <si>
    <t>Frå alle kantar ber vinden med seg ord og plantar og</t>
  </si>
  <si>
    <t>Sting</t>
  </si>
  <si>
    <t>839.699[S]</t>
  </si>
  <si>
    <t>Dei kallar meg berre Hugo</t>
  </si>
  <si>
    <t>Kapabel</t>
  </si>
  <si>
    <t>Helmsdal, Rakel</t>
  </si>
  <si>
    <t>Bruer av svoltne ord</t>
  </si>
  <si>
    <t>Fyrste ferda bort</t>
  </si>
  <si>
    <t>Stegane, Idar</t>
  </si>
  <si>
    <t>Attom auga veks det verder</t>
  </si>
  <si>
    <t>Davvi girji</t>
  </si>
  <si>
    <t>894.551[S]</t>
  </si>
  <si>
    <t>Moske, B.</t>
  </si>
  <si>
    <t>Julien, Marit</t>
  </si>
  <si>
    <t>sme</t>
  </si>
  <si>
    <t>Altaic, Uralic, Hyperborean &amp; Dravidian</t>
  </si>
  <si>
    <t>Kjærleik på Krim</t>
  </si>
  <si>
    <t>891.852[S]</t>
  </si>
  <si>
    <t>pol</t>
  </si>
  <si>
    <t>Balladen om tida</t>
  </si>
  <si>
    <t>891.811[S]</t>
  </si>
  <si>
    <t>Matevski, Mateja</t>
  </si>
  <si>
    <t>mac</t>
  </si>
  <si>
    <t>Onkel Vanja</t>
  </si>
  <si>
    <t>891.72[S]</t>
  </si>
  <si>
    <t>rus</t>
  </si>
  <si>
    <t>Minne om ei underlig bevertning</t>
  </si>
  <si>
    <t>891.71[S]</t>
  </si>
  <si>
    <t>Tre systrer</t>
  </si>
  <si>
    <t>Ein galen mann's dagbok</t>
  </si>
  <si>
    <t>891.73[S]</t>
  </si>
  <si>
    <t>Gogol', N.V.</t>
  </si>
  <si>
    <t>Holmås, Tove Jensen</t>
  </si>
  <si>
    <t>Forutaning om eit rekviem</t>
  </si>
  <si>
    <t>Ajgi, Gennadij</t>
  </si>
  <si>
    <t>Egeberg, Erik</t>
  </si>
  <si>
    <t>Kjære Jelena Sergejevna</t>
  </si>
  <si>
    <t>Razumovskaja, Ljudmila</t>
  </si>
  <si>
    <t>Helgheim, Kjell</t>
  </si>
  <si>
    <t>Peter og ulven</t>
  </si>
  <si>
    <t>Prokof'ev, Sergej</t>
  </si>
  <si>
    <t>Storaas, Reidar</t>
  </si>
  <si>
    <t>Anna Karenina</t>
  </si>
  <si>
    <t>Edmundson, Helen</t>
  </si>
  <si>
    <t>Kirsebærhagen</t>
  </si>
  <si>
    <t>Tre søstre</t>
  </si>
  <si>
    <t>Frå djupet</t>
  </si>
  <si>
    <t>Eg kviskrar det i svart kladd</t>
  </si>
  <si>
    <t>Røter i lufta</t>
  </si>
  <si>
    <t>891.871[S]</t>
  </si>
  <si>
    <t>Richter, Milan</t>
  </si>
  <si>
    <t>Mauer, Lubo</t>
  </si>
  <si>
    <t>slo</t>
  </si>
  <si>
    <t>Iliaden</t>
  </si>
  <si>
    <t>883[S]</t>
  </si>
  <si>
    <t>Homeros</t>
  </si>
  <si>
    <t>Vandvik, Eirik</t>
  </si>
  <si>
    <t>grc</t>
  </si>
  <si>
    <t>Classical Greek epic poetry &amp; fiction</t>
  </si>
  <si>
    <t>Ifigenia i Aulis</t>
  </si>
  <si>
    <t>882[S]</t>
  </si>
  <si>
    <t>Euripides</t>
  </si>
  <si>
    <t>Antigone</t>
  </si>
  <si>
    <t>Sofokles</t>
  </si>
  <si>
    <t>Greske tragediar</t>
  </si>
  <si>
    <t>Oidipus</t>
  </si>
  <si>
    <t>Trollskap i november</t>
  </si>
  <si>
    <t>894.5453[S]</t>
  </si>
  <si>
    <t>Kivirähk, Andrus</t>
  </si>
  <si>
    <t>Farbregd, Turid</t>
  </si>
  <si>
    <t>est</t>
  </si>
  <si>
    <t>Prisen</t>
  </si>
  <si>
    <t>Tode, Emil</t>
  </si>
  <si>
    <t>Professor Martens' avreise</t>
  </si>
  <si>
    <t>Kross, Jaan</t>
  </si>
  <si>
    <t>Skremmande vakkert</t>
  </si>
  <si>
    <t>Luik, Viivi</t>
  </si>
  <si>
    <t>Englefrø</t>
  </si>
  <si>
    <t>Frosken og grisen</t>
  </si>
  <si>
    <t>839.313[SU]</t>
  </si>
  <si>
    <t>dut</t>
  </si>
  <si>
    <t>Den forelska frosken</t>
  </si>
  <si>
    <t>Frosken og haren</t>
  </si>
  <si>
    <t>Mirad</t>
  </si>
  <si>
    <t>839.312[S]</t>
  </si>
  <si>
    <t>Bont, Ad de</t>
  </si>
  <si>
    <t>Frosken og den spesielle dagen</t>
  </si>
  <si>
    <t>Kvifor sa vi ingenting?</t>
  </si>
  <si>
    <t>Zanger, Jan F. de</t>
  </si>
  <si>
    <t>Vikør, Lars S.</t>
  </si>
  <si>
    <t>Frosken og skatten</t>
  </si>
  <si>
    <t>Bror</t>
  </si>
  <si>
    <t>Lieshout, Ted van</t>
  </si>
  <si>
    <t>Ein liten sjanse</t>
  </si>
  <si>
    <t>Hof, Marjolijn</t>
  </si>
  <si>
    <t>Fredag</t>
  </si>
  <si>
    <t>839.322[S]</t>
  </si>
  <si>
    <t>Claus, Hugo</t>
  </si>
  <si>
    <t>Vikør, Lars s.</t>
  </si>
  <si>
    <t>Frosken er redd</t>
  </si>
  <si>
    <t>Akk, så mjuke kjærteikn for ei mild sorg</t>
  </si>
  <si>
    <t>Katakombe forl.</t>
  </si>
  <si>
    <t>839.311[S]</t>
  </si>
  <si>
    <t>Gruwez, Luuk</t>
  </si>
  <si>
    <t>Spaans, Ronny</t>
  </si>
  <si>
    <t>Frosken og vennene hans</t>
  </si>
  <si>
    <t>Frosken er lei seg</t>
  </si>
  <si>
    <t>Frosken og rotta</t>
  </si>
  <si>
    <t>Frosken finn ein venn</t>
  </si>
  <si>
    <t>Den framtidige tjuven</t>
  </si>
  <si>
    <t>Vliet, Eddy van</t>
  </si>
  <si>
    <t>Oostakker-dikta</t>
  </si>
  <si>
    <t>Bryllaup ved havet</t>
  </si>
  <si>
    <t>839.313[S]</t>
  </si>
  <si>
    <t>Benali, Abdelkader</t>
  </si>
  <si>
    <t>Ei verd utanfor meg sjølv</t>
  </si>
  <si>
    <t>Kopland, Rutger</t>
  </si>
  <si>
    <t>Frosken og den framande</t>
  </si>
  <si>
    <t>Frosken og anda</t>
  </si>
  <si>
    <t>Frosken er ein helt</t>
  </si>
  <si>
    <t>Med mord i blikket</t>
  </si>
  <si>
    <t>894.5413[S]</t>
  </si>
  <si>
    <t>Rönkä, Matti</t>
  </si>
  <si>
    <t>Abildsnes, Morten</t>
  </si>
  <si>
    <t>fin</t>
  </si>
  <si>
    <t>894.5413[SU]</t>
  </si>
  <si>
    <t>Louhi, Kristiina</t>
  </si>
  <si>
    <t>Lykkjen, Ola</t>
  </si>
  <si>
    <t>Gjennom eld og vatn</t>
  </si>
  <si>
    <t>Kallas, Aino</t>
  </si>
  <si>
    <t>Hatle, Liv</t>
  </si>
  <si>
    <t>Kalevala</t>
  </si>
  <si>
    <t>894.5411[SU]</t>
  </si>
  <si>
    <t>Fliflet, Albert Lange</t>
  </si>
  <si>
    <t>Berit hjelper mor</t>
  </si>
  <si>
    <t>Skaadel, Jardar</t>
  </si>
  <si>
    <t>Honninglabb og andre forteljingar</t>
  </si>
  <si>
    <t>Leino, Eino</t>
  </si>
  <si>
    <t>Berit får katt</t>
  </si>
  <si>
    <t>gre</t>
  </si>
  <si>
    <t>U- : historier om djevelskap</t>
  </si>
  <si>
    <t>Omar Khayyãm</t>
  </si>
  <si>
    <t>Den forelska frosken ; Frosken om vinteren</t>
  </si>
  <si>
    <t>Berit skal bli storesyster ; Berit og veslebror</t>
  </si>
  <si>
    <t>Ukjent (199-)</t>
  </si>
  <si>
    <t>Ukjent (tekstsamling)</t>
  </si>
  <si>
    <t>James, Henry</t>
  </si>
  <si>
    <t xml:space="preserve">Kipling, Rudyard </t>
  </si>
  <si>
    <t>Stevenson, Robert Louis</t>
  </si>
  <si>
    <t>Drzic, Marin</t>
  </si>
  <si>
    <t>Selimovic, Jasenko</t>
  </si>
  <si>
    <t>Anonym</t>
  </si>
  <si>
    <t>Lagerkvist, Per</t>
  </si>
  <si>
    <t>Noren, Lars</t>
  </si>
  <si>
    <t>Rubio, Alexander G.</t>
  </si>
  <si>
    <t>Askeland, Jorunn Strand</t>
  </si>
  <si>
    <t>Aksnes, Norunn Stendal</t>
  </si>
  <si>
    <t>Egner, Thorbjørn</t>
  </si>
  <si>
    <t>Nedreaas, Torborg</t>
  </si>
  <si>
    <t>Salsberg, Tom</t>
  </si>
  <si>
    <t>Røkkum, Henrik</t>
  </si>
  <si>
    <t>Skeie, Eyvind</t>
  </si>
  <si>
    <t>Listrøm, Anne Grete</t>
  </si>
  <si>
    <t>Svingen, Arne</t>
  </si>
  <si>
    <t>Ibsen, Henrik</t>
  </si>
  <si>
    <t>Brænne, Trond</t>
  </si>
  <si>
    <t>Newth, Philip</t>
  </si>
  <si>
    <t>Dürr, Morten</t>
  </si>
  <si>
    <t xml:space="preserve">Ukjent   </t>
  </si>
  <si>
    <t>Srbljanovic, Biljana</t>
  </si>
  <si>
    <t>Farrukhzad, Furugh</t>
  </si>
  <si>
    <t>Hidayat, Sadiq</t>
  </si>
  <si>
    <t>Mrozek, Slawomir</t>
  </si>
  <si>
    <t>Cechov, A.P.</t>
  </si>
  <si>
    <t>Svarc, Elena</t>
  </si>
  <si>
    <t>Dostovjevskij, Fjodor</t>
  </si>
  <si>
    <t>Mandelstam, Osip</t>
  </si>
  <si>
    <t>Lonnrot, Elias</t>
  </si>
  <si>
    <t>Skald forlag</t>
  </si>
  <si>
    <t>Ukjent</t>
  </si>
  <si>
    <t>Selberg, Ole Michael</t>
  </si>
  <si>
    <t>Occitan &amp; Catalan literatures</t>
  </si>
  <si>
    <t>Øvrig (5 utgivingar eller færre)</t>
  </si>
  <si>
    <t>Alias</t>
  </si>
  <si>
    <t>Forlag (alias)</t>
  </si>
  <si>
    <t xml:space="preserve">Barnelitteratur </t>
  </si>
  <si>
    <t>Dikt / poesi / lyrikk</t>
  </si>
  <si>
    <t>Roman / novellesamling / forteljing</t>
  </si>
  <si>
    <t>11 drama, 9 lyrikk, 2 roman</t>
  </si>
  <si>
    <t>Øvrig</t>
  </si>
  <si>
    <t>Sjanger (alias)</t>
  </si>
  <si>
    <t>Barnelitteratur</t>
  </si>
  <si>
    <t xml:space="preserve">Utgivingsår </t>
  </si>
  <si>
    <t>Forfattar</t>
  </si>
  <si>
    <t>Omsettar</t>
  </si>
  <si>
    <t>Opphavleg språk</t>
  </si>
  <si>
    <t>Sjanger (frå Dewey)</t>
  </si>
  <si>
    <t>Årstal</t>
  </si>
  <si>
    <t>Tal på utgivingar</t>
  </si>
  <si>
    <t xml:space="preserve">Totalt: </t>
  </si>
  <si>
    <t>Arabisk (ara)</t>
  </si>
  <si>
    <t>Bulgarsk (bul)</t>
  </si>
  <si>
    <t>Dansk (dan)</t>
  </si>
  <si>
    <t>Tsjekkisk (cze)</t>
  </si>
  <si>
    <t>Katalansk (cat)</t>
  </si>
  <si>
    <t>Nederlandsk (dut)</t>
  </si>
  <si>
    <t>Engelsk (eng)</t>
  </si>
  <si>
    <t>Estisk (est)</t>
  </si>
  <si>
    <t>Færøysk (fao)</t>
  </si>
  <si>
    <t>Finsk (fin)</t>
  </si>
  <si>
    <t>Fransk (fre)</t>
  </si>
  <si>
    <t>Tysk (ger)</t>
  </si>
  <si>
    <t>Klassisk gresk (grc)</t>
  </si>
  <si>
    <t>Gresk (gre)</t>
  </si>
  <si>
    <t>Hebraisk (heb)</t>
  </si>
  <si>
    <t>Kroatisk (hrv)</t>
  </si>
  <si>
    <t>Islandsk (ice)</t>
  </si>
  <si>
    <t>Italiensk (ita)</t>
  </si>
  <si>
    <t>Japansk (jpn)</t>
  </si>
  <si>
    <t>Latin (lat)</t>
  </si>
  <si>
    <t>Makedonsk (mac)</t>
  </si>
  <si>
    <t>Bokmål (nob)</t>
  </si>
  <si>
    <t>Gammelnorsk (non)</t>
  </si>
  <si>
    <t>Farsi (per)</t>
  </si>
  <si>
    <t>Polsk (pol)</t>
  </si>
  <si>
    <t>Portugisisk (por)</t>
  </si>
  <si>
    <t>Russisk (rus)</t>
  </si>
  <si>
    <t>Slovakisk (slo)</t>
  </si>
  <si>
    <t>Samisk (sme)</t>
  </si>
  <si>
    <t>Spansk (spa)</t>
  </si>
  <si>
    <t>Serbisk (srp)</t>
  </si>
  <si>
    <t>Svensk (swe)</t>
  </si>
  <si>
    <t>Totalt:</t>
  </si>
  <si>
    <t>35 øvrig, 32 drama, 11 lyrikk, 8 roman</t>
  </si>
  <si>
    <t>Sjanger (Dewey)</t>
  </si>
  <si>
    <t>Fleirspråkleg (mul)</t>
  </si>
  <si>
    <t>Prosent</t>
  </si>
  <si>
    <t>Berre spesifikke årstal er tatt med, derfor manglar det tre franske verk (78/75)</t>
  </si>
  <si>
    <t>Berre spesifikke årstal er tatt med, derfor manglar det tre drama  (154/151)</t>
  </si>
  <si>
    <t>Donadieu</t>
  </si>
  <si>
    <t>Norsk rikskringkasting</t>
  </si>
  <si>
    <t>Vifte med vinterlandskap</t>
  </si>
  <si>
    <t>jap</t>
  </si>
  <si>
    <t>Stilistikk</t>
  </si>
  <si>
    <t>Isak Juntti hadde mange søner</t>
  </si>
  <si>
    <t>På veglaust hav</t>
  </si>
  <si>
    <t>Sju brør</t>
  </si>
  <si>
    <t>Utgivingsår</t>
  </si>
  <si>
    <t>Hochwälder, Fritz</t>
  </si>
  <si>
    <t>Historia om Vasco</t>
  </si>
  <si>
    <t>800[S]</t>
  </si>
  <si>
    <t>Schehade, Georges</t>
  </si>
  <si>
    <t>808[S]</t>
  </si>
  <si>
    <t>Guiraud, Pierre</t>
  </si>
  <si>
    <t>Dale, Johannes Andreasson</t>
  </si>
  <si>
    <t>Litterær komposisjon og samling av litterære tekster</t>
  </si>
  <si>
    <t>Höijer, Björn Erik</t>
  </si>
  <si>
    <t>Fonna</t>
  </si>
  <si>
    <t>Fonna forlag</t>
  </si>
  <si>
    <t>Steinarr, Steinn</t>
  </si>
  <si>
    <t>Kivi, Aleksis</t>
  </si>
  <si>
    <t xml:space="preserve">Årstal </t>
  </si>
  <si>
    <t>Tal på utgjevingar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</si>
</sst>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ill="1"/>
    <xf numFmtId="0" fontId="4" fillId="0" borderId="1" xfId="0" applyFont="1" applyBorder="1"/>
    <xf numFmtId="0" fontId="0" fillId="0" borderId="1" xfId="0" applyBorder="1"/>
    <xf numFmtId="0" fontId="0" fillId="3" borderId="1" xfId="0" applyFill="1" applyBorder="1"/>
    <xf numFmtId="0" fontId="5" fillId="4" borderId="1" xfId="0" applyFont="1" applyFill="1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1" xfId="0" applyFont="1" applyFill="1" applyBorder="1"/>
    <xf numFmtId="0" fontId="0" fillId="3" borderId="1" xfId="0" applyFont="1" applyFill="1" applyBorder="1" applyAlignment="1">
      <alignment horizontal="right"/>
    </xf>
    <xf numFmtId="0" fontId="5" fillId="0" borderId="1" xfId="0" applyFont="1" applyBorder="1"/>
    <xf numFmtId="0" fontId="0" fillId="4" borderId="1" xfId="0" applyFill="1" applyBorder="1"/>
    <xf numFmtId="9" fontId="0" fillId="0" borderId="1" xfId="1" applyFont="1" applyBorder="1"/>
    <xf numFmtId="9" fontId="0" fillId="3" borderId="1" xfId="1" applyFont="1" applyFill="1" applyBorder="1"/>
    <xf numFmtId="9" fontId="4" fillId="0" borderId="1" xfId="1" applyFont="1" applyBorder="1"/>
    <xf numFmtId="9" fontId="4" fillId="0" borderId="1" xfId="0" applyNumberFormat="1" applyFont="1" applyBorder="1"/>
    <xf numFmtId="9" fontId="0" fillId="4" borderId="1" xfId="1" applyFont="1" applyFill="1" applyBorder="1"/>
    <xf numFmtId="0" fontId="5" fillId="0" borderId="2" xfId="0" applyFont="1" applyBorder="1"/>
    <xf numFmtId="0" fontId="4" fillId="0" borderId="2" xfId="0" applyFont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5" borderId="5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2" fillId="7" borderId="5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7" fillId="6" borderId="0" xfId="0" applyFont="1" applyFill="1"/>
    <xf numFmtId="0" fontId="4" fillId="3" borderId="1" xfId="0" applyFont="1" applyFill="1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Tal på</a:t>
            </a:r>
            <a:r>
              <a:rPr lang="en-US" b="1" baseline="0"/>
              <a:t> utgjevingar per år 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Totalt: 603 verk</a:t>
            </a:r>
            <a:r>
              <a:rPr lang="en-US" b="1"/>
              <a:t>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914337398540227E-2"/>
          <c:y val="0.19370500269851748"/>
          <c:w val="0.87753018372703417"/>
          <c:h val="0.70841097987751533"/>
        </c:manualLayout>
      </c:layout>
      <c:lineChart>
        <c:grouping val="standard"/>
        <c:varyColors val="0"/>
        <c:ser>
          <c:idx val="0"/>
          <c:order val="0"/>
          <c:tx>
            <c:v>Tal på utgivingar per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bg2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Sheet1!$L$3:$L$23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Sheet1!$M$3:$M$23</c:f>
              <c:numCache>
                <c:formatCode>General</c:formatCode>
                <c:ptCount val="21"/>
                <c:pt idx="0">
                  <c:v>6</c:v>
                </c:pt>
                <c:pt idx="1">
                  <c:v>19</c:v>
                </c:pt>
                <c:pt idx="2">
                  <c:v>15</c:v>
                </c:pt>
                <c:pt idx="3">
                  <c:v>31</c:v>
                </c:pt>
                <c:pt idx="4">
                  <c:v>35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29</c:v>
                </c:pt>
                <c:pt idx="9">
                  <c:v>34</c:v>
                </c:pt>
                <c:pt idx="10">
                  <c:v>38</c:v>
                </c:pt>
                <c:pt idx="11">
                  <c:v>29</c:v>
                </c:pt>
                <c:pt idx="12">
                  <c:v>41</c:v>
                </c:pt>
                <c:pt idx="13">
                  <c:v>27</c:v>
                </c:pt>
                <c:pt idx="14">
                  <c:v>29</c:v>
                </c:pt>
                <c:pt idx="15">
                  <c:v>32</c:v>
                </c:pt>
                <c:pt idx="16">
                  <c:v>28</c:v>
                </c:pt>
                <c:pt idx="17">
                  <c:v>39</c:v>
                </c:pt>
                <c:pt idx="18">
                  <c:v>40</c:v>
                </c:pt>
                <c:pt idx="19">
                  <c:v>29</c:v>
                </c:pt>
                <c:pt idx="20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42-42BE-A8C0-3C2825AA5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>
                  <a:lumMod val="50000"/>
                  <a:alpha val="50000"/>
                </a:schemeClr>
              </a:solidFill>
              <a:round/>
            </a:ln>
            <a:effectLst/>
          </c:spPr>
        </c:dropLines>
        <c:marker val="1"/>
        <c:smooth val="0"/>
        <c:axId val="158354432"/>
        <c:axId val="158360320"/>
      </c:lineChart>
      <c:catAx>
        <c:axId val="158354432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360320"/>
        <c:crosses val="autoZero"/>
        <c:auto val="1"/>
        <c:lblAlgn val="ctr"/>
        <c:lblOffset val="100"/>
        <c:noMultiLvlLbl val="0"/>
      </c:catAx>
      <c:valAx>
        <c:axId val="15836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35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405130214980481"/>
          <c:y val="0.13183196406891931"/>
          <c:w val="0.59733776034285502"/>
          <c:h val="5.4799781633427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Sjangerfordeling  -  GYLDENDAL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Sheet1!$BJ$42:$BJ$46</c:f>
              <c:strCache>
                <c:ptCount val="5"/>
                <c:pt idx="0">
                  <c:v>Barnelitteratur</c:v>
                </c:pt>
                <c:pt idx="1">
                  <c:v>Dikt / poesi / lyrikk</c:v>
                </c:pt>
                <c:pt idx="2">
                  <c:v>Drama</c:v>
                </c:pt>
                <c:pt idx="3">
                  <c:v>Roman / novellesamling / forteljing</c:v>
                </c:pt>
                <c:pt idx="4">
                  <c:v>Øvrig</c:v>
                </c:pt>
              </c:strCache>
            </c:strRef>
          </c:cat>
          <c:val>
            <c:numRef>
              <c:f>Sheet1!$BK$42:$BK$46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5B-46A7-AC59-F4899EF3A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646336"/>
        <c:axId val="165647872"/>
      </c:barChart>
      <c:catAx>
        <c:axId val="16564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647872"/>
        <c:crosses val="autoZero"/>
        <c:auto val="1"/>
        <c:lblAlgn val="ctr"/>
        <c:lblOffset val="100"/>
        <c:noMultiLvlLbl val="0"/>
      </c:catAx>
      <c:valAx>
        <c:axId val="16564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Tal på verk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64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Språkfordeling  -  DET NORSKE TEATRET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Sheet1!$CE$3:$CE$35</c:f>
              <c:strCache>
                <c:ptCount val="33"/>
                <c:pt idx="0">
                  <c:v>Arabisk (ara)</c:v>
                </c:pt>
                <c:pt idx="1">
                  <c:v>Bulgarsk (bul)</c:v>
                </c:pt>
                <c:pt idx="2">
                  <c:v>Katalansk (cat)</c:v>
                </c:pt>
                <c:pt idx="3">
                  <c:v>Tsjekkisk (cze)</c:v>
                </c:pt>
                <c:pt idx="4">
                  <c:v>Dansk (dan)</c:v>
                </c:pt>
                <c:pt idx="5">
                  <c:v>Nederlandsk (dut)</c:v>
                </c:pt>
                <c:pt idx="6">
                  <c:v>Engelsk (eng)</c:v>
                </c:pt>
                <c:pt idx="7">
                  <c:v>Estisk (est)</c:v>
                </c:pt>
                <c:pt idx="8">
                  <c:v>Færøysk (fao)</c:v>
                </c:pt>
                <c:pt idx="9">
                  <c:v>Finsk (fin)</c:v>
                </c:pt>
                <c:pt idx="10">
                  <c:v>Fransk (fre)</c:v>
                </c:pt>
                <c:pt idx="11">
                  <c:v>Tysk (ger)</c:v>
                </c:pt>
                <c:pt idx="12">
                  <c:v>Klassisk gresk (grc)</c:v>
                </c:pt>
                <c:pt idx="13">
                  <c:v>Gresk (gre)</c:v>
                </c:pt>
                <c:pt idx="14">
                  <c:v>Hebraisk (heb)</c:v>
                </c:pt>
                <c:pt idx="15">
                  <c:v>Kroatisk (hrv)</c:v>
                </c:pt>
                <c:pt idx="16">
                  <c:v>Islandsk (ice)</c:v>
                </c:pt>
                <c:pt idx="17">
                  <c:v>Italiensk (ita)</c:v>
                </c:pt>
                <c:pt idx="18">
                  <c:v>Japansk (jpn)</c:v>
                </c:pt>
                <c:pt idx="19">
                  <c:v>Latin (lat)</c:v>
                </c:pt>
                <c:pt idx="20">
                  <c:v>Makedonsk (mac)</c:v>
                </c:pt>
                <c:pt idx="21">
                  <c:v>Fleirspråkleg (mul)</c:v>
                </c:pt>
                <c:pt idx="22">
                  <c:v>Bokmål (nob)</c:v>
                </c:pt>
                <c:pt idx="23">
                  <c:v>Gammelnorsk (non)</c:v>
                </c:pt>
                <c:pt idx="24">
                  <c:v>Farsi (per)</c:v>
                </c:pt>
                <c:pt idx="25">
                  <c:v>Polsk (pol)</c:v>
                </c:pt>
                <c:pt idx="26">
                  <c:v>Portugisisk (por)</c:v>
                </c:pt>
                <c:pt idx="27">
                  <c:v>Russisk (rus)</c:v>
                </c:pt>
                <c:pt idx="28">
                  <c:v>Slovakisk (slo)</c:v>
                </c:pt>
                <c:pt idx="29">
                  <c:v>Samisk (sme)</c:v>
                </c:pt>
                <c:pt idx="30">
                  <c:v>Spansk (spa)</c:v>
                </c:pt>
                <c:pt idx="31">
                  <c:v>Serbisk (srp)</c:v>
                </c:pt>
                <c:pt idx="32">
                  <c:v>Svensk (swe)</c:v>
                </c:pt>
              </c:strCache>
            </c:strRef>
          </c:cat>
          <c:val>
            <c:numRef>
              <c:f>Sheet1!$CF$3:$CF$35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6E-4662-A434-4B3CC46F2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681024"/>
        <c:axId val="165682560"/>
      </c:barChart>
      <c:catAx>
        <c:axId val="16568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682560"/>
        <c:crosses val="autoZero"/>
        <c:auto val="1"/>
        <c:lblAlgn val="ctr"/>
        <c:lblOffset val="100"/>
        <c:noMultiLvlLbl val="0"/>
      </c:catAx>
      <c:valAx>
        <c:axId val="16568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Tal på verk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68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Språkfordeling  -  CAPPELEN DAMM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Sheet1!$CE$42:$CE$74</c:f>
              <c:strCache>
                <c:ptCount val="33"/>
                <c:pt idx="0">
                  <c:v>Arabisk (ara)</c:v>
                </c:pt>
                <c:pt idx="1">
                  <c:v>Bulgarsk (bul)</c:v>
                </c:pt>
                <c:pt idx="2">
                  <c:v>Katalansk (cat)</c:v>
                </c:pt>
                <c:pt idx="3">
                  <c:v>Tsjekkisk (cze)</c:v>
                </c:pt>
                <c:pt idx="4">
                  <c:v>Dansk (dan)</c:v>
                </c:pt>
                <c:pt idx="5">
                  <c:v>Nederlandsk (dut)</c:v>
                </c:pt>
                <c:pt idx="6">
                  <c:v>Engelsk (eng)</c:v>
                </c:pt>
                <c:pt idx="7">
                  <c:v>Estisk (est)</c:v>
                </c:pt>
                <c:pt idx="8">
                  <c:v>Færøysk (fao)</c:v>
                </c:pt>
                <c:pt idx="9">
                  <c:v>Finsk (fin)</c:v>
                </c:pt>
                <c:pt idx="10">
                  <c:v>Fransk (fre)</c:v>
                </c:pt>
                <c:pt idx="11">
                  <c:v>Tysk (ger)</c:v>
                </c:pt>
                <c:pt idx="12">
                  <c:v>Klassisk gresk (grc)</c:v>
                </c:pt>
                <c:pt idx="13">
                  <c:v>Gresk (gre)</c:v>
                </c:pt>
                <c:pt idx="14">
                  <c:v>Hebraisk (heb)</c:v>
                </c:pt>
                <c:pt idx="15">
                  <c:v>Kroatisk (hrv)</c:v>
                </c:pt>
                <c:pt idx="16">
                  <c:v>Islandsk (ice)</c:v>
                </c:pt>
                <c:pt idx="17">
                  <c:v>Italiensk (ita)</c:v>
                </c:pt>
                <c:pt idx="18">
                  <c:v>Japansk (jpn)</c:v>
                </c:pt>
                <c:pt idx="19">
                  <c:v>Latin (lat)</c:v>
                </c:pt>
                <c:pt idx="20">
                  <c:v>Makedonsk (mac)</c:v>
                </c:pt>
                <c:pt idx="21">
                  <c:v>Fleirspråkleg (mul)</c:v>
                </c:pt>
                <c:pt idx="22">
                  <c:v>Bokmål (nob)</c:v>
                </c:pt>
                <c:pt idx="23">
                  <c:v>Gammelnorsk (non)</c:v>
                </c:pt>
                <c:pt idx="24">
                  <c:v>Farsi (per)</c:v>
                </c:pt>
                <c:pt idx="25">
                  <c:v>Polsk (pol)</c:v>
                </c:pt>
                <c:pt idx="26">
                  <c:v>Portugisisk (por)</c:v>
                </c:pt>
                <c:pt idx="27">
                  <c:v>Russisk (rus)</c:v>
                </c:pt>
                <c:pt idx="28">
                  <c:v>Slovakisk (slo)</c:v>
                </c:pt>
                <c:pt idx="29">
                  <c:v>Samisk (sme)</c:v>
                </c:pt>
                <c:pt idx="30">
                  <c:v>Spansk (spa)</c:v>
                </c:pt>
                <c:pt idx="31">
                  <c:v>Serbisk (srp)</c:v>
                </c:pt>
                <c:pt idx="32">
                  <c:v>Svensk (swe)</c:v>
                </c:pt>
              </c:strCache>
            </c:strRef>
          </c:cat>
          <c:val>
            <c:numRef>
              <c:f>Sheet1!$CF$42:$CF$74</c:f>
              <c:numCache>
                <c:formatCode>General</c:formatCode>
                <c:ptCount val="3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F-441E-BD7E-B7AA8793F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728256"/>
        <c:axId val="165729792"/>
      </c:barChart>
      <c:catAx>
        <c:axId val="16572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729792"/>
        <c:crosses val="autoZero"/>
        <c:auto val="1"/>
        <c:lblAlgn val="ctr"/>
        <c:lblOffset val="100"/>
        <c:noMultiLvlLbl val="0"/>
      </c:catAx>
      <c:valAx>
        <c:axId val="16572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Tal på verk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72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Sjangerfordeling  -  CAPPELEN DAMM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Sheet1!$CI$42:$CI$46</c:f>
              <c:strCache>
                <c:ptCount val="5"/>
                <c:pt idx="0">
                  <c:v>Barnelitteratur</c:v>
                </c:pt>
                <c:pt idx="1">
                  <c:v>Dikt / poesi / lyrikk</c:v>
                </c:pt>
                <c:pt idx="2">
                  <c:v>Drama</c:v>
                </c:pt>
                <c:pt idx="3">
                  <c:v>Roman / novellesamling / forteljing</c:v>
                </c:pt>
                <c:pt idx="4">
                  <c:v>Øvrig</c:v>
                </c:pt>
              </c:strCache>
            </c:strRef>
          </c:cat>
          <c:val>
            <c:numRef>
              <c:f>Sheet1!$CJ$42:$CJ$46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A-41CA-8042-685D8DFBF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812096"/>
        <c:axId val="165813632"/>
      </c:barChart>
      <c:catAx>
        <c:axId val="1658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813632"/>
        <c:crosses val="autoZero"/>
        <c:auto val="1"/>
        <c:lblAlgn val="ctr"/>
        <c:lblOffset val="100"/>
        <c:noMultiLvlLbl val="0"/>
      </c:catAx>
      <c:valAx>
        <c:axId val="1658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Tal på verk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81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Språkfordeling</a:t>
            </a:r>
            <a:r>
              <a:rPr lang="en-US" baseline="0"/>
              <a:t> over tid</a:t>
            </a:r>
            <a:endParaRPr lang="en-US"/>
          </a:p>
        </c:rich>
      </c:tx>
      <c:layout>
        <c:manualLayout>
          <c:xMode val="edge"/>
          <c:yMode val="edge"/>
          <c:x val="0.38933467321740384"/>
          <c:y val="2.270559224178773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Sheet1!$W$67</c:f>
              <c:strCache>
                <c:ptCount val="1"/>
                <c:pt idx="0">
                  <c:v>Dansk (dan)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Sheet1!$W$69:$W$89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Sheet1!$X$69:$X$89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8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7C-413F-8C0A-A276876F1BE4}"/>
            </c:ext>
          </c:extLst>
        </c:ser>
        <c:ser>
          <c:idx val="1"/>
          <c:order val="1"/>
          <c:tx>
            <c:strRef>
              <c:f>Sheet1!$Z$67</c:f>
              <c:strCache>
                <c:ptCount val="1"/>
                <c:pt idx="0">
                  <c:v>Engelsk (eng)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Sheet1!$AA$69:$AA$89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11</c:v>
                </c:pt>
                <c:pt idx="9">
                  <c:v>11</c:v>
                </c:pt>
                <c:pt idx="10">
                  <c:v>14</c:v>
                </c:pt>
                <c:pt idx="11">
                  <c:v>11</c:v>
                </c:pt>
                <c:pt idx="12">
                  <c:v>18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8</c:v>
                </c:pt>
                <c:pt idx="17">
                  <c:v>11</c:v>
                </c:pt>
                <c:pt idx="18">
                  <c:v>15</c:v>
                </c:pt>
                <c:pt idx="19">
                  <c:v>9</c:v>
                </c:pt>
                <c:pt idx="20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7C-413F-8C0A-A276876F1BE4}"/>
            </c:ext>
          </c:extLst>
        </c:ser>
        <c:ser>
          <c:idx val="2"/>
          <c:order val="2"/>
          <c:tx>
            <c:strRef>
              <c:f>Sheet1!$W$92</c:f>
              <c:strCache>
                <c:ptCount val="1"/>
                <c:pt idx="0">
                  <c:v>Fransk (fre)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Sheet1!$X$94:$X$114</c:f>
              <c:numCache>
                <c:formatCode>General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7C-413F-8C0A-A276876F1BE4}"/>
            </c:ext>
          </c:extLst>
        </c:ser>
        <c:ser>
          <c:idx val="3"/>
          <c:order val="3"/>
          <c:tx>
            <c:strRef>
              <c:f>Sheet1!$Z$92</c:f>
              <c:strCache>
                <c:ptCount val="1"/>
                <c:pt idx="0">
                  <c:v>Tysk (ger)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Sheet1!$AA$94:$AA$114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7C-413F-8C0A-A276876F1BE4}"/>
            </c:ext>
          </c:extLst>
        </c:ser>
        <c:ser>
          <c:idx val="4"/>
          <c:order val="4"/>
          <c:tx>
            <c:strRef>
              <c:f>Sheet1!$W$117</c:f>
              <c:strCache>
                <c:ptCount val="1"/>
                <c:pt idx="0">
                  <c:v>Svensk (swe)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Sheet1!$X$119:$X$139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7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9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6</c:v>
                </c:pt>
                <c:pt idx="17">
                  <c:v>8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17C-413F-8C0A-A276876F1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76800"/>
        <c:axId val="166490880"/>
      </c:lineChart>
      <c:catAx>
        <c:axId val="1664768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6490880"/>
        <c:crosses val="autoZero"/>
        <c:auto val="1"/>
        <c:lblAlgn val="ctr"/>
        <c:lblOffset val="100"/>
        <c:noMultiLvlLbl val="0"/>
      </c:catAx>
      <c:valAx>
        <c:axId val="16649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Tal</a:t>
                </a:r>
                <a:r>
                  <a:rPr lang="nb-NO" baseline="0"/>
                  <a:t> på verk</a:t>
                </a:r>
                <a:endParaRPr lang="nb-N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647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Sjangerfordeling</a:t>
            </a:r>
            <a:r>
              <a:rPr lang="nb-NO" baseline="0"/>
              <a:t> over tid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Sheet1!$AG$64</c:f>
              <c:strCache>
                <c:ptCount val="1"/>
                <c:pt idx="0">
                  <c:v>Barnelitteratur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Sheet1!$W$69:$W$89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Sheet1!$AH$66:$AH$86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15</c:v>
                </c:pt>
                <c:pt idx="4">
                  <c:v>16</c:v>
                </c:pt>
                <c:pt idx="5">
                  <c:v>10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12</c:v>
                </c:pt>
                <c:pt idx="10">
                  <c:v>11</c:v>
                </c:pt>
                <c:pt idx="11">
                  <c:v>8</c:v>
                </c:pt>
                <c:pt idx="12">
                  <c:v>8</c:v>
                </c:pt>
                <c:pt idx="13">
                  <c:v>14</c:v>
                </c:pt>
                <c:pt idx="14">
                  <c:v>17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15</c:v>
                </c:pt>
                <c:pt idx="19">
                  <c:v>11</c:v>
                </c:pt>
                <c:pt idx="2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FB-4637-A414-7FC6A49EC52F}"/>
            </c:ext>
          </c:extLst>
        </c:ser>
        <c:ser>
          <c:idx val="1"/>
          <c:order val="1"/>
          <c:tx>
            <c:strRef>
              <c:f>Sheet1!$AJ$64</c:f>
              <c:strCache>
                <c:ptCount val="1"/>
                <c:pt idx="0">
                  <c:v>Dikt / poesi / lyrikk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Sheet1!$AK$66:$AK$86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10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0</c:v>
                </c:pt>
                <c:pt idx="17">
                  <c:v>7</c:v>
                </c:pt>
                <c:pt idx="18">
                  <c:v>8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FB-4637-A414-7FC6A49EC52F}"/>
            </c:ext>
          </c:extLst>
        </c:ser>
        <c:ser>
          <c:idx val="2"/>
          <c:order val="2"/>
          <c:tx>
            <c:strRef>
              <c:f>Sheet1!$AG$89</c:f>
              <c:strCache>
                <c:ptCount val="1"/>
                <c:pt idx="0">
                  <c:v>Drama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Sheet1!$AH$91:$AH$111</c:f>
              <c:numCache>
                <c:formatCode>General</c:formatCode>
                <c:ptCount val="21"/>
                <c:pt idx="0">
                  <c:v>5</c:v>
                </c:pt>
                <c:pt idx="1">
                  <c:v>12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18</c:v>
                </c:pt>
                <c:pt idx="9">
                  <c:v>11</c:v>
                </c:pt>
                <c:pt idx="10">
                  <c:v>19</c:v>
                </c:pt>
                <c:pt idx="11">
                  <c:v>9</c:v>
                </c:pt>
                <c:pt idx="12">
                  <c:v>18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FB-4637-A414-7FC6A49EC52F}"/>
            </c:ext>
          </c:extLst>
        </c:ser>
        <c:ser>
          <c:idx val="3"/>
          <c:order val="3"/>
          <c:tx>
            <c:strRef>
              <c:f>Sheet1!$AJ$89</c:f>
              <c:strCache>
                <c:ptCount val="1"/>
                <c:pt idx="0">
                  <c:v>Roman / novellesamling / forteljing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Sheet1!$AK$91:$AK$111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7</c:v>
                </c:pt>
                <c:pt idx="13">
                  <c:v>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</c:v>
                </c:pt>
                <c:pt idx="18">
                  <c:v>12</c:v>
                </c:pt>
                <c:pt idx="19">
                  <c:v>9</c:v>
                </c:pt>
                <c:pt idx="20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EFB-4637-A414-7FC6A49EC52F}"/>
            </c:ext>
          </c:extLst>
        </c:ser>
        <c:ser>
          <c:idx val="4"/>
          <c:order val="4"/>
          <c:tx>
            <c:strRef>
              <c:f>Sheet1!$AG$114</c:f>
              <c:strCache>
                <c:ptCount val="1"/>
                <c:pt idx="0">
                  <c:v>Øvrig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Sheet1!$AH$116:$AH$136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EFB-4637-A414-7FC6A49EC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25184"/>
        <c:axId val="166211584"/>
      </c:lineChart>
      <c:catAx>
        <c:axId val="16652518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6211584"/>
        <c:crosses val="autoZero"/>
        <c:auto val="1"/>
        <c:lblAlgn val="ctr"/>
        <c:lblOffset val="100"/>
        <c:noMultiLvlLbl val="0"/>
      </c:catAx>
      <c:valAx>
        <c:axId val="16621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Tal</a:t>
                </a:r>
                <a:r>
                  <a:rPr lang="nb-NO" baseline="0"/>
                  <a:t> på verk</a:t>
                </a:r>
                <a:endParaRPr lang="nb-N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652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Oversyn over språkfordeling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Sheet1!$W$3:$W$35</c:f>
              <c:strCache>
                <c:ptCount val="33"/>
                <c:pt idx="0">
                  <c:v>Arabisk (ara)</c:v>
                </c:pt>
                <c:pt idx="1">
                  <c:v>Bulgarsk (bul)</c:v>
                </c:pt>
                <c:pt idx="2">
                  <c:v>Katalansk (cat)</c:v>
                </c:pt>
                <c:pt idx="3">
                  <c:v>Tsjekkisk (cze)</c:v>
                </c:pt>
                <c:pt idx="4">
                  <c:v>Dansk (dan)</c:v>
                </c:pt>
                <c:pt idx="5">
                  <c:v>Nederlandsk (dut)</c:v>
                </c:pt>
                <c:pt idx="6">
                  <c:v>Engelsk (eng)</c:v>
                </c:pt>
                <c:pt idx="7">
                  <c:v>Estisk (est)</c:v>
                </c:pt>
                <c:pt idx="8">
                  <c:v>Færøysk (fao)</c:v>
                </c:pt>
                <c:pt idx="9">
                  <c:v>Finsk (fin)</c:v>
                </c:pt>
                <c:pt idx="10">
                  <c:v>Fransk (fre)</c:v>
                </c:pt>
                <c:pt idx="11">
                  <c:v>Tysk (ger)</c:v>
                </c:pt>
                <c:pt idx="12">
                  <c:v>Klassisk gresk (grc)</c:v>
                </c:pt>
                <c:pt idx="13">
                  <c:v>Gresk (gre)</c:v>
                </c:pt>
                <c:pt idx="14">
                  <c:v>Hebraisk (heb)</c:v>
                </c:pt>
                <c:pt idx="15">
                  <c:v>Kroatisk (hrv)</c:v>
                </c:pt>
                <c:pt idx="16">
                  <c:v>Islandsk (ice)</c:v>
                </c:pt>
                <c:pt idx="17">
                  <c:v>Italiensk (ita)</c:v>
                </c:pt>
                <c:pt idx="18">
                  <c:v>Japansk (jpn)</c:v>
                </c:pt>
                <c:pt idx="19">
                  <c:v>Latin (lat)</c:v>
                </c:pt>
                <c:pt idx="20">
                  <c:v>Makedonsk (mac)</c:v>
                </c:pt>
                <c:pt idx="21">
                  <c:v>Fleirspråkleg (mul)</c:v>
                </c:pt>
                <c:pt idx="22">
                  <c:v>Bokmål (nob)</c:v>
                </c:pt>
                <c:pt idx="23">
                  <c:v>Gammelnorsk (non)</c:v>
                </c:pt>
                <c:pt idx="24">
                  <c:v>Farsi (per)</c:v>
                </c:pt>
                <c:pt idx="25">
                  <c:v>Polsk (pol)</c:v>
                </c:pt>
                <c:pt idx="26">
                  <c:v>Portugisisk (por)</c:v>
                </c:pt>
                <c:pt idx="27">
                  <c:v>Russisk (rus)</c:v>
                </c:pt>
                <c:pt idx="28">
                  <c:v>Slovakisk (slo)</c:v>
                </c:pt>
                <c:pt idx="29">
                  <c:v>Samisk (sme)</c:v>
                </c:pt>
                <c:pt idx="30">
                  <c:v>Spansk (spa)</c:v>
                </c:pt>
                <c:pt idx="31">
                  <c:v>Serbisk (srp)</c:v>
                </c:pt>
                <c:pt idx="32">
                  <c:v>Svensk (swe)</c:v>
                </c:pt>
              </c:strCache>
            </c:strRef>
          </c:cat>
          <c:val>
            <c:numRef>
              <c:f>Sheet1!$X$3:$X$35</c:f>
              <c:numCache>
                <c:formatCode>General</c:formatCode>
                <c:ptCount val="3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41</c:v>
                </c:pt>
                <c:pt idx="5">
                  <c:v>26</c:v>
                </c:pt>
                <c:pt idx="6">
                  <c:v>133</c:v>
                </c:pt>
                <c:pt idx="7">
                  <c:v>5</c:v>
                </c:pt>
                <c:pt idx="8">
                  <c:v>9</c:v>
                </c:pt>
                <c:pt idx="9">
                  <c:v>7</c:v>
                </c:pt>
                <c:pt idx="10">
                  <c:v>78</c:v>
                </c:pt>
                <c:pt idx="11">
                  <c:v>56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5</c:v>
                </c:pt>
                <c:pt idx="17">
                  <c:v>21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8</c:v>
                </c:pt>
                <c:pt idx="22">
                  <c:v>11</c:v>
                </c:pt>
                <c:pt idx="23">
                  <c:v>35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12</c:v>
                </c:pt>
                <c:pt idx="28">
                  <c:v>1</c:v>
                </c:pt>
                <c:pt idx="29">
                  <c:v>1</c:v>
                </c:pt>
                <c:pt idx="30">
                  <c:v>14</c:v>
                </c:pt>
                <c:pt idx="31">
                  <c:v>2</c:v>
                </c:pt>
                <c:pt idx="32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23-4F53-9EC5-03E2351EB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912320"/>
        <c:axId val="159913856"/>
      </c:barChart>
      <c:catAx>
        <c:axId val="1599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9913856"/>
        <c:crosses val="autoZero"/>
        <c:auto val="1"/>
        <c:lblAlgn val="ctr"/>
        <c:lblOffset val="100"/>
        <c:noMultiLvlLbl val="0"/>
      </c:catAx>
      <c:valAx>
        <c:axId val="1599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Tal på verk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991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Oversyn over sjangerfordeling</a:t>
            </a:r>
            <a:r>
              <a:rPr lang="en-US" baseline="0"/>
              <a:t> (Dewey)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Sheet1!$AF$3:$AF$31</c:f>
              <c:strCache>
                <c:ptCount val="29"/>
                <c:pt idx="0">
                  <c:v>Afro-Asiatic literatures, Semitic literatures</c:v>
                </c:pt>
                <c:pt idx="1">
                  <c:v>Altaic, Uralic, Hyperborean &amp; Dravidian</c:v>
                </c:pt>
                <c:pt idx="2">
                  <c:v>American fiction in English</c:v>
                </c:pt>
                <c:pt idx="3">
                  <c:v>American poetry in English</c:v>
                </c:pt>
                <c:pt idx="4">
                  <c:v>Children's literature</c:v>
                </c:pt>
                <c:pt idx="5">
                  <c:v>Classical Greek epic poetry &amp; fiction</c:v>
                </c:pt>
                <c:pt idx="6">
                  <c:v>Drama</c:v>
                </c:pt>
                <c:pt idx="7">
                  <c:v>East Indo-European &amp; Celtic literatures</c:v>
                </c:pt>
                <c:pt idx="8">
                  <c:v>English fiction</c:v>
                </c:pt>
                <c:pt idx="9">
                  <c:v>English miscellaneous writings</c:v>
                </c:pt>
                <c:pt idx="10">
                  <c:v>English poetry</c:v>
                </c:pt>
                <c:pt idx="11">
                  <c:v>French fiction</c:v>
                </c:pt>
                <c:pt idx="12">
                  <c:v>French miscellaneous writings</c:v>
                </c:pt>
                <c:pt idx="13">
                  <c:v>French poetry</c:v>
                </c:pt>
                <c:pt idx="14">
                  <c:v>German fiction</c:v>
                </c:pt>
                <c:pt idx="15">
                  <c:v>German letters</c:v>
                </c:pt>
                <c:pt idx="16">
                  <c:v>German miscellaneous writings</c:v>
                </c:pt>
                <c:pt idx="17">
                  <c:v>German poetry</c:v>
                </c:pt>
                <c:pt idx="18">
                  <c:v>Italian fiction</c:v>
                </c:pt>
                <c:pt idx="19">
                  <c:v>Italian poetry</c:v>
                </c:pt>
                <c:pt idx="20">
                  <c:v>Latin poetry</c:v>
                </c:pt>
                <c:pt idx="21">
                  <c:v>Literatures of East &amp; Southeast Asia</c:v>
                </c:pt>
                <c:pt idx="22">
                  <c:v>Occitan &amp; Catalan literatures</c:v>
                </c:pt>
                <c:pt idx="23">
                  <c:v>Other Germanic literatures</c:v>
                </c:pt>
                <c:pt idx="24">
                  <c:v>Portuguese literature</c:v>
                </c:pt>
                <c:pt idx="25">
                  <c:v>Rhetoric &amp; collections of literature</c:v>
                </c:pt>
                <c:pt idx="26">
                  <c:v>Spanish fiction</c:v>
                </c:pt>
                <c:pt idx="27">
                  <c:v>Spanish poetry</c:v>
                </c:pt>
                <c:pt idx="28">
                  <c:v>Totalt: </c:v>
                </c:pt>
              </c:strCache>
            </c:strRef>
          </c:cat>
          <c:val>
            <c:numRef>
              <c:f>Sheet1!$AG$3:$AG$30</c:f>
              <c:numCache>
                <c:formatCode>General</c:formatCode>
                <c:ptCount val="28"/>
                <c:pt idx="0">
                  <c:v>4</c:v>
                </c:pt>
                <c:pt idx="1">
                  <c:v>9</c:v>
                </c:pt>
                <c:pt idx="2">
                  <c:v>15</c:v>
                </c:pt>
                <c:pt idx="3">
                  <c:v>11</c:v>
                </c:pt>
                <c:pt idx="4">
                  <c:v>246</c:v>
                </c:pt>
                <c:pt idx="5">
                  <c:v>1</c:v>
                </c:pt>
                <c:pt idx="6">
                  <c:v>109</c:v>
                </c:pt>
                <c:pt idx="7">
                  <c:v>22</c:v>
                </c:pt>
                <c:pt idx="8">
                  <c:v>10</c:v>
                </c:pt>
                <c:pt idx="9">
                  <c:v>1</c:v>
                </c:pt>
                <c:pt idx="10">
                  <c:v>12</c:v>
                </c:pt>
                <c:pt idx="11">
                  <c:v>28</c:v>
                </c:pt>
                <c:pt idx="12">
                  <c:v>1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9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86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02-47EF-9825-2521ACAD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926912"/>
        <c:axId val="159932800"/>
      </c:barChart>
      <c:catAx>
        <c:axId val="15992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9932800"/>
        <c:crosses val="autoZero"/>
        <c:auto val="1"/>
        <c:lblAlgn val="ctr"/>
        <c:lblOffset val="100"/>
        <c:noMultiLvlLbl val="0"/>
      </c:catAx>
      <c:valAx>
        <c:axId val="15993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Tal på verk</a:t>
                </a:r>
              </a:p>
            </c:rich>
          </c:tx>
          <c:layout>
            <c:manualLayout>
              <c:xMode val="edge"/>
              <c:yMode val="edge"/>
              <c:x val="9.3315619878099512E-2"/>
              <c:y val="0.2555096510059137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992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Oversyn</a:t>
            </a:r>
            <a:r>
              <a:rPr lang="nb-NO" baseline="0"/>
              <a:t> over sjangerfordeling (alias)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Sheet1!$AJ$3:$AJ$7</c:f>
              <c:strCache>
                <c:ptCount val="5"/>
                <c:pt idx="0">
                  <c:v>Barnelitteratur</c:v>
                </c:pt>
                <c:pt idx="1">
                  <c:v>Dikt / poesi / lyrikk</c:v>
                </c:pt>
                <c:pt idx="2">
                  <c:v>Drama</c:v>
                </c:pt>
                <c:pt idx="3">
                  <c:v>Roman / novellesamling / forteljing</c:v>
                </c:pt>
                <c:pt idx="4">
                  <c:v>Øvrig</c:v>
                </c:pt>
              </c:strCache>
            </c:strRef>
          </c:cat>
          <c:val>
            <c:numRef>
              <c:f>Sheet1!$AK$3:$AK$7</c:f>
              <c:numCache>
                <c:formatCode>General</c:formatCode>
                <c:ptCount val="5"/>
                <c:pt idx="0">
                  <c:v>246</c:v>
                </c:pt>
                <c:pt idx="1">
                  <c:v>89</c:v>
                </c:pt>
                <c:pt idx="2">
                  <c:v>154</c:v>
                </c:pt>
                <c:pt idx="3">
                  <c:v>80</c:v>
                </c:pt>
                <c:pt idx="4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69-435F-B5E4-CD91EBE2D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981952"/>
        <c:axId val="159983488"/>
      </c:barChart>
      <c:catAx>
        <c:axId val="15998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9983488"/>
        <c:crosses val="autoZero"/>
        <c:auto val="1"/>
        <c:lblAlgn val="ctr"/>
        <c:lblOffset val="100"/>
        <c:noMultiLvlLbl val="0"/>
      </c:catAx>
      <c:valAx>
        <c:axId val="15998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Tal på verk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998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Oversyn over alle forlag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Sheet1!$AP$3:$AP$64</c:f>
              <c:strCache>
                <c:ptCount val="62"/>
                <c:pt idx="0">
                  <c:v>Agder teater</c:v>
                </c:pt>
                <c:pt idx="1">
                  <c:v>Aschehoug</c:v>
                </c:pt>
                <c:pt idx="2">
                  <c:v>Baskerville</c:v>
                </c:pt>
                <c:pt idx="3">
                  <c:v>Bokklubben</c:v>
                </c:pt>
                <c:pt idx="4">
                  <c:v>Bokklubbens barn</c:v>
                </c:pt>
                <c:pt idx="5">
                  <c:v>Bokvennen</c:v>
                </c:pt>
                <c:pt idx="6">
                  <c:v>Cappelen Damm</c:v>
                </c:pt>
                <c:pt idx="7">
                  <c:v>Davvi girji</c:v>
                </c:pt>
                <c:pt idx="8">
                  <c:v>De norske bokklubbene</c:v>
                </c:pt>
                <c:pt idx="9">
                  <c:v>Den nationale scene</c:v>
                </c:pt>
                <c:pt idx="10">
                  <c:v>Den norske bokhandlerforening</c:v>
                </c:pt>
                <c:pt idx="11">
                  <c:v>Den norske lyrikklubben</c:v>
                </c:pt>
                <c:pt idx="12">
                  <c:v>Det norske teatret</c:v>
                </c:pt>
                <c:pt idx="13">
                  <c:v>Dreyer bok</c:v>
                </c:pt>
                <c:pt idx="14">
                  <c:v>Eide</c:v>
                </c:pt>
                <c:pt idx="15">
                  <c:v>Eriksson &amp; Lindgren</c:v>
                </c:pt>
                <c:pt idx="16">
                  <c:v>Erling Skjalgssonselskapet</c:v>
                </c:pt>
                <c:pt idx="17">
                  <c:v>Flamme forl.</c:v>
                </c:pt>
                <c:pt idx="18">
                  <c:v>Gan Aschehoug</c:v>
                </c:pt>
                <c:pt idx="19">
                  <c:v>Gyldendal</c:v>
                </c:pt>
                <c:pt idx="20">
                  <c:v>Harald Rongevær forl.</c:v>
                </c:pt>
                <c:pt idx="21">
                  <c:v>Heinesen</c:v>
                </c:pt>
                <c:pt idx="22">
                  <c:v>Hordaland teater</c:v>
                </c:pt>
                <c:pt idx="23">
                  <c:v>Hålogaland teater</c:v>
                </c:pt>
                <c:pt idx="24">
                  <c:v>IKO</c:v>
                </c:pt>
                <c:pt idx="25">
                  <c:v>Kapabel</c:v>
                </c:pt>
                <c:pt idx="26">
                  <c:v>Karviland forl.</c:v>
                </c:pt>
                <c:pt idx="27">
                  <c:v>Katakombe forl.</c:v>
                </c:pt>
                <c:pt idx="28">
                  <c:v>Kolon</c:v>
                </c:pt>
                <c:pt idx="29">
                  <c:v>Landbruksforl.</c:v>
                </c:pt>
                <c:pt idx="30">
                  <c:v>Lydbokforl.</c:v>
                </c:pt>
                <c:pt idx="31">
                  <c:v>Mangschou</c:v>
                </c:pt>
                <c:pt idx="32">
                  <c:v>Nordsjøforl.</c:v>
                </c:pt>
                <c:pt idx="33">
                  <c:v>Noregs ungdomslag</c:v>
                </c:pt>
                <c:pt idx="34">
                  <c:v>Norland teater</c:v>
                </c:pt>
                <c:pt idx="35">
                  <c:v>NRK</c:v>
                </c:pt>
                <c:pt idx="36">
                  <c:v>Oktober</c:v>
                </c:pt>
                <c:pt idx="37">
                  <c:v>Orkana</c:v>
                </c:pt>
                <c:pt idx="38">
                  <c:v>Pax</c:v>
                </c:pt>
                <c:pt idx="39">
                  <c:v>Pedagogisk psykologisk forl.</c:v>
                </c:pt>
                <c:pt idx="40">
                  <c:v>Pir forl.</c:v>
                </c:pt>
                <c:pt idx="41">
                  <c:v>Riksteatret</c:v>
                </c:pt>
                <c:pt idx="42">
                  <c:v>Rogaland teater</c:v>
                </c:pt>
                <c:pt idx="43">
                  <c:v>Samlaget</c:v>
                </c:pt>
                <c:pt idx="44">
                  <c:v>Setesdalsforl.</c:v>
                </c:pt>
                <c:pt idx="45">
                  <c:v>Skald</c:v>
                </c:pt>
                <c:pt idx="46">
                  <c:v>Slow Fire Press</c:v>
                </c:pt>
                <c:pt idx="47">
                  <c:v>Snøfugl</c:v>
                </c:pt>
                <c:pt idx="48">
                  <c:v>Sogn og Fjordane teater</c:v>
                </c:pt>
                <c:pt idx="49">
                  <c:v>Solum</c:v>
                </c:pt>
                <c:pt idx="50">
                  <c:v>Stenersens forl.</c:v>
                </c:pt>
                <c:pt idx="51">
                  <c:v>Storskriftforl.</c:v>
                </c:pt>
                <c:pt idx="52">
                  <c:v>Sypress</c:v>
                </c:pt>
                <c:pt idx="53">
                  <c:v>Teatret vårt</c:v>
                </c:pt>
                <c:pt idx="54">
                  <c:v>Tiden</c:v>
                </c:pt>
                <c:pt idx="55">
                  <c:v>Tom Rasmussen produksjoner</c:v>
                </c:pt>
                <c:pt idx="56">
                  <c:v>Totalteatret</c:v>
                </c:pt>
                <c:pt idx="57">
                  <c:v>Trøndelag teater</c:v>
                </c:pt>
                <c:pt idx="58">
                  <c:v>Tun</c:v>
                </c:pt>
                <c:pt idx="59">
                  <c:v>Ura forl.</c:v>
                </c:pt>
                <c:pt idx="60">
                  <c:v>Vigmostad &amp; Bjørke</c:v>
                </c:pt>
                <c:pt idx="61">
                  <c:v>Von forl.</c:v>
                </c:pt>
              </c:strCache>
            </c:strRef>
          </c:cat>
          <c:val>
            <c:numRef>
              <c:f>Sheet1!$AQ$3:$AQ$64</c:f>
              <c:numCache>
                <c:formatCode>General</c:formatCode>
                <c:ptCount val="62"/>
                <c:pt idx="0">
                  <c:v>1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20</c:v>
                </c:pt>
                <c:pt idx="5">
                  <c:v>6</c:v>
                </c:pt>
                <c:pt idx="6">
                  <c:v>26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80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11</c:v>
                </c:pt>
                <c:pt idx="19">
                  <c:v>26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11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14</c:v>
                </c:pt>
                <c:pt idx="31">
                  <c:v>7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8</c:v>
                </c:pt>
                <c:pt idx="36">
                  <c:v>9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6</c:v>
                </c:pt>
                <c:pt idx="43">
                  <c:v>239</c:v>
                </c:pt>
                <c:pt idx="44">
                  <c:v>1</c:v>
                </c:pt>
                <c:pt idx="45">
                  <c:v>13</c:v>
                </c:pt>
                <c:pt idx="46">
                  <c:v>3</c:v>
                </c:pt>
                <c:pt idx="47">
                  <c:v>1</c:v>
                </c:pt>
                <c:pt idx="48">
                  <c:v>10</c:v>
                </c:pt>
                <c:pt idx="49">
                  <c:v>14</c:v>
                </c:pt>
                <c:pt idx="50">
                  <c:v>1</c:v>
                </c:pt>
                <c:pt idx="51">
                  <c:v>4</c:v>
                </c:pt>
                <c:pt idx="52">
                  <c:v>1</c:v>
                </c:pt>
                <c:pt idx="53">
                  <c:v>7</c:v>
                </c:pt>
                <c:pt idx="54">
                  <c:v>6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DE-468F-89AF-3C2C1D9E9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018816"/>
        <c:axId val="160020352"/>
      </c:barChart>
      <c:catAx>
        <c:axId val="16001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0020352"/>
        <c:crosses val="autoZero"/>
        <c:auto val="1"/>
        <c:lblAlgn val="ctr"/>
        <c:lblOffset val="100"/>
        <c:noMultiLvlLbl val="0"/>
      </c:catAx>
      <c:valAx>
        <c:axId val="16002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Tal på verk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001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Oversyn</a:t>
            </a:r>
            <a:r>
              <a:rPr lang="en-US" baseline="0"/>
              <a:t> over forlag (alias)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Sheet1!$AT$3:$AT$23</c:f>
              <c:strCache>
                <c:ptCount val="21"/>
                <c:pt idx="0">
                  <c:v>Aschehoug</c:v>
                </c:pt>
                <c:pt idx="1">
                  <c:v>Bokklubbens barn</c:v>
                </c:pt>
                <c:pt idx="2">
                  <c:v>Bokvennen</c:v>
                </c:pt>
                <c:pt idx="3">
                  <c:v>Cappelen Damm</c:v>
                </c:pt>
                <c:pt idx="4">
                  <c:v>Den nationale scene</c:v>
                </c:pt>
                <c:pt idx="5">
                  <c:v>Det norske teatret</c:v>
                </c:pt>
                <c:pt idx="6">
                  <c:v>Gan Aschehoug</c:v>
                </c:pt>
                <c:pt idx="7">
                  <c:v>Gyldendal</c:v>
                </c:pt>
                <c:pt idx="8">
                  <c:v>Hålogaland teater</c:v>
                </c:pt>
                <c:pt idx="9">
                  <c:v>Lydbokforl.</c:v>
                </c:pt>
                <c:pt idx="10">
                  <c:v>Mangschou</c:v>
                </c:pt>
                <c:pt idx="11">
                  <c:v>NRK</c:v>
                </c:pt>
                <c:pt idx="12">
                  <c:v>Oktober</c:v>
                </c:pt>
                <c:pt idx="13">
                  <c:v>Rogaland teater</c:v>
                </c:pt>
                <c:pt idx="14">
                  <c:v>Samlaget</c:v>
                </c:pt>
                <c:pt idx="15">
                  <c:v>Skald</c:v>
                </c:pt>
                <c:pt idx="16">
                  <c:v>Sogn og Fjordane teater</c:v>
                </c:pt>
                <c:pt idx="17">
                  <c:v>Solum</c:v>
                </c:pt>
                <c:pt idx="18">
                  <c:v>Teatret vårt</c:v>
                </c:pt>
                <c:pt idx="19">
                  <c:v>Tiden</c:v>
                </c:pt>
                <c:pt idx="20">
                  <c:v>Øvrig (5 utgivingar eller færre)</c:v>
                </c:pt>
              </c:strCache>
            </c:strRef>
          </c:cat>
          <c:val>
            <c:numRef>
              <c:f>Sheet1!$AU$3:$AU$23</c:f>
              <c:numCache>
                <c:formatCode>General</c:formatCode>
                <c:ptCount val="21"/>
                <c:pt idx="0">
                  <c:v>7</c:v>
                </c:pt>
                <c:pt idx="1">
                  <c:v>20</c:v>
                </c:pt>
                <c:pt idx="2">
                  <c:v>6</c:v>
                </c:pt>
                <c:pt idx="3">
                  <c:v>26</c:v>
                </c:pt>
                <c:pt idx="4">
                  <c:v>7</c:v>
                </c:pt>
                <c:pt idx="5">
                  <c:v>80</c:v>
                </c:pt>
                <c:pt idx="6">
                  <c:v>11</c:v>
                </c:pt>
                <c:pt idx="7">
                  <c:v>26</c:v>
                </c:pt>
                <c:pt idx="8">
                  <c:v>11</c:v>
                </c:pt>
                <c:pt idx="9">
                  <c:v>14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6</c:v>
                </c:pt>
                <c:pt idx="14">
                  <c:v>239</c:v>
                </c:pt>
                <c:pt idx="15">
                  <c:v>13</c:v>
                </c:pt>
                <c:pt idx="16">
                  <c:v>10</c:v>
                </c:pt>
                <c:pt idx="17">
                  <c:v>14</c:v>
                </c:pt>
                <c:pt idx="18">
                  <c:v>7</c:v>
                </c:pt>
                <c:pt idx="19">
                  <c:v>6</c:v>
                </c:pt>
                <c:pt idx="20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C4-414A-BD24-9887B3317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747328"/>
        <c:axId val="165765504"/>
      </c:barChart>
      <c:catAx>
        <c:axId val="1657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765504"/>
        <c:crosses val="autoZero"/>
        <c:auto val="1"/>
        <c:lblAlgn val="ctr"/>
        <c:lblOffset val="100"/>
        <c:noMultiLvlLbl val="0"/>
      </c:catAx>
      <c:valAx>
        <c:axId val="16576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Tal på verk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74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Språkfordeling -  SAMLAGET</a:t>
            </a:r>
            <a:r>
              <a:rPr lang="nb-NO" baseline="0"/>
              <a:t> 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Sheet1!$BF$3:$BF$35</c:f>
              <c:strCache>
                <c:ptCount val="33"/>
                <c:pt idx="0">
                  <c:v>Arabisk (ara)</c:v>
                </c:pt>
                <c:pt idx="1">
                  <c:v>Bulgarsk (bul)</c:v>
                </c:pt>
                <c:pt idx="2">
                  <c:v>Katalansk (cat)</c:v>
                </c:pt>
                <c:pt idx="3">
                  <c:v>Tsjekkisk (cze)</c:v>
                </c:pt>
                <c:pt idx="4">
                  <c:v>Dansk (dan)</c:v>
                </c:pt>
                <c:pt idx="5">
                  <c:v>Nederlandsk (dut)</c:v>
                </c:pt>
                <c:pt idx="6">
                  <c:v>Engelsk (eng)</c:v>
                </c:pt>
                <c:pt idx="7">
                  <c:v>Estisk (est)</c:v>
                </c:pt>
                <c:pt idx="8">
                  <c:v>Færøysk (fao)</c:v>
                </c:pt>
                <c:pt idx="9">
                  <c:v>Finsk (fin)</c:v>
                </c:pt>
                <c:pt idx="10">
                  <c:v>Fransk (fre)</c:v>
                </c:pt>
                <c:pt idx="11">
                  <c:v>Tysk (ger)</c:v>
                </c:pt>
                <c:pt idx="12">
                  <c:v>Klassisk gresk (grc)</c:v>
                </c:pt>
                <c:pt idx="13">
                  <c:v>Gresk (gre)</c:v>
                </c:pt>
                <c:pt idx="14">
                  <c:v>Hebraisk (heb)</c:v>
                </c:pt>
                <c:pt idx="15">
                  <c:v>Kroatisk (hrv)</c:v>
                </c:pt>
                <c:pt idx="16">
                  <c:v>Islandsk (ice)</c:v>
                </c:pt>
                <c:pt idx="17">
                  <c:v>Italiensk (ita)</c:v>
                </c:pt>
                <c:pt idx="18">
                  <c:v>Japansk (jpn)</c:v>
                </c:pt>
                <c:pt idx="19">
                  <c:v>Latin (lat)</c:v>
                </c:pt>
                <c:pt idx="20">
                  <c:v>Makedonsk (mac)</c:v>
                </c:pt>
                <c:pt idx="21">
                  <c:v>Fleirspråkleg (mul)</c:v>
                </c:pt>
                <c:pt idx="22">
                  <c:v>Bokmål (nob)</c:v>
                </c:pt>
                <c:pt idx="23">
                  <c:v>Gammelnorsk (non)</c:v>
                </c:pt>
                <c:pt idx="24">
                  <c:v>Farsi (per)</c:v>
                </c:pt>
                <c:pt idx="25">
                  <c:v>Polsk (pol)</c:v>
                </c:pt>
                <c:pt idx="26">
                  <c:v>Portugisisk (por)</c:v>
                </c:pt>
                <c:pt idx="27">
                  <c:v>Russisk (rus)</c:v>
                </c:pt>
                <c:pt idx="28">
                  <c:v>Slovakisk (slo)</c:v>
                </c:pt>
                <c:pt idx="29">
                  <c:v>Samisk (sme)</c:v>
                </c:pt>
                <c:pt idx="30">
                  <c:v>Spansk (spa)</c:v>
                </c:pt>
                <c:pt idx="31">
                  <c:v>Serbisk (srp)</c:v>
                </c:pt>
                <c:pt idx="32">
                  <c:v>Svensk (swe)</c:v>
                </c:pt>
              </c:strCache>
            </c:strRef>
          </c:cat>
          <c:val>
            <c:numRef>
              <c:f>Sheet1!$BG$3:$BG$35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18</c:v>
                </c:pt>
                <c:pt idx="6">
                  <c:v>40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30</c:v>
                </c:pt>
                <c:pt idx="11">
                  <c:v>21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6</c:v>
                </c:pt>
                <c:pt idx="22">
                  <c:v>1</c:v>
                </c:pt>
                <c:pt idx="23">
                  <c:v>20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87-4176-8BD7-9CCA8BA7E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784192"/>
        <c:axId val="165548416"/>
      </c:barChart>
      <c:catAx>
        <c:axId val="16578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548416"/>
        <c:crosses val="autoZero"/>
        <c:auto val="1"/>
        <c:lblAlgn val="ctr"/>
        <c:lblOffset val="100"/>
        <c:noMultiLvlLbl val="0"/>
      </c:catAx>
      <c:valAx>
        <c:axId val="1655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Tal på verk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78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Sjangerfordeling</a:t>
            </a:r>
            <a:r>
              <a:rPr lang="nb-NO" baseline="0"/>
              <a:t> -  SAMLAGET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Sheet1!$BJ$3:$BJ$7</c:f>
              <c:strCache>
                <c:ptCount val="5"/>
                <c:pt idx="0">
                  <c:v>Barnelitteratur</c:v>
                </c:pt>
                <c:pt idx="1">
                  <c:v>Dikt / poesi / lyrikk</c:v>
                </c:pt>
                <c:pt idx="2">
                  <c:v>Drama</c:v>
                </c:pt>
                <c:pt idx="3">
                  <c:v>Roman / novellesamling / forteljing</c:v>
                </c:pt>
                <c:pt idx="4">
                  <c:v>Øvrig</c:v>
                </c:pt>
              </c:strCache>
            </c:strRef>
          </c:cat>
          <c:val>
            <c:numRef>
              <c:f>Sheet1!$BK$3:$BK$7</c:f>
              <c:numCache>
                <c:formatCode>General</c:formatCode>
                <c:ptCount val="5"/>
                <c:pt idx="0">
                  <c:v>127</c:v>
                </c:pt>
                <c:pt idx="1">
                  <c:v>30</c:v>
                </c:pt>
                <c:pt idx="2">
                  <c:v>22</c:v>
                </c:pt>
                <c:pt idx="3">
                  <c:v>39</c:v>
                </c:pt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B2-43F2-8AAD-729C66DA5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581568"/>
        <c:axId val="165583104"/>
      </c:barChart>
      <c:catAx>
        <c:axId val="1655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583104"/>
        <c:crosses val="autoZero"/>
        <c:auto val="1"/>
        <c:lblAlgn val="ctr"/>
        <c:lblOffset val="100"/>
        <c:noMultiLvlLbl val="0"/>
      </c:catAx>
      <c:valAx>
        <c:axId val="16558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Tal på verk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58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Språkfordeling  -  GYLDENDAL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Sheet1!$BF$42:$BF$74</c:f>
              <c:strCache>
                <c:ptCount val="33"/>
                <c:pt idx="0">
                  <c:v>Arabisk (ara)</c:v>
                </c:pt>
                <c:pt idx="1">
                  <c:v>Bulgarsk (bul)</c:v>
                </c:pt>
                <c:pt idx="2">
                  <c:v>Katalansk (cat)</c:v>
                </c:pt>
                <c:pt idx="3">
                  <c:v>Tsjekkisk (cze)</c:v>
                </c:pt>
                <c:pt idx="4">
                  <c:v>Dansk (dan)</c:v>
                </c:pt>
                <c:pt idx="5">
                  <c:v>Nederlandsk (dut)</c:v>
                </c:pt>
                <c:pt idx="6">
                  <c:v>Engelsk (eng)</c:v>
                </c:pt>
                <c:pt idx="7">
                  <c:v>Estisk (est)</c:v>
                </c:pt>
                <c:pt idx="8">
                  <c:v>Færøysk (fao)</c:v>
                </c:pt>
                <c:pt idx="9">
                  <c:v>Finsk (fin)</c:v>
                </c:pt>
                <c:pt idx="10">
                  <c:v>Fransk (fre)</c:v>
                </c:pt>
                <c:pt idx="11">
                  <c:v>Tysk (ger)</c:v>
                </c:pt>
                <c:pt idx="12">
                  <c:v>Klassisk gresk (grc)</c:v>
                </c:pt>
                <c:pt idx="13">
                  <c:v>Gresk (gre)</c:v>
                </c:pt>
                <c:pt idx="14">
                  <c:v>Hebraisk (heb)</c:v>
                </c:pt>
                <c:pt idx="15">
                  <c:v>Kroatisk (hrv)</c:v>
                </c:pt>
                <c:pt idx="16">
                  <c:v>Islandsk (ice)</c:v>
                </c:pt>
                <c:pt idx="17">
                  <c:v>Italiensk (ita)</c:v>
                </c:pt>
                <c:pt idx="18">
                  <c:v>Japansk (jpn)</c:v>
                </c:pt>
                <c:pt idx="19">
                  <c:v>Latin (lat)</c:v>
                </c:pt>
                <c:pt idx="20">
                  <c:v>Makedonsk (mac)</c:v>
                </c:pt>
                <c:pt idx="21">
                  <c:v>Fleirspråkleg (mul)</c:v>
                </c:pt>
                <c:pt idx="22">
                  <c:v>Bokmål (nob)</c:v>
                </c:pt>
                <c:pt idx="23">
                  <c:v>Gammelnorsk (non)</c:v>
                </c:pt>
                <c:pt idx="24">
                  <c:v>Farsi (per)</c:v>
                </c:pt>
                <c:pt idx="25">
                  <c:v>Polsk (pol)</c:v>
                </c:pt>
                <c:pt idx="26">
                  <c:v>Portugisisk (por)</c:v>
                </c:pt>
                <c:pt idx="27">
                  <c:v>Russisk (rus)</c:v>
                </c:pt>
                <c:pt idx="28">
                  <c:v>Slovakisk (slo)</c:v>
                </c:pt>
                <c:pt idx="29">
                  <c:v>Samisk (sme)</c:v>
                </c:pt>
                <c:pt idx="30">
                  <c:v>Spansk (spa)</c:v>
                </c:pt>
                <c:pt idx="31">
                  <c:v>Serbisk (srp)</c:v>
                </c:pt>
                <c:pt idx="32">
                  <c:v>Svensk (swe)</c:v>
                </c:pt>
              </c:strCache>
            </c:strRef>
          </c:cat>
          <c:val>
            <c:numRef>
              <c:f>Sheet1!$BG$42:$BG$74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3D-4BCE-84B3-97726FED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619584"/>
        <c:axId val="165621120"/>
      </c:barChart>
      <c:catAx>
        <c:axId val="16561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621120"/>
        <c:crosses val="autoZero"/>
        <c:auto val="1"/>
        <c:lblAlgn val="ctr"/>
        <c:lblOffset val="100"/>
        <c:noMultiLvlLbl val="0"/>
      </c:catAx>
      <c:valAx>
        <c:axId val="16562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Tal på verk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61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762001</xdr:colOff>
      <xdr:row>27</xdr:row>
      <xdr:rowOff>11203</xdr:rowOff>
    </xdr:from>
    <xdr:to>
      <xdr:col>19</xdr:col>
      <xdr:colOff>0</xdr:colOff>
      <xdr:row>52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21</xdr:col>
      <xdr:colOff>705969</xdr:colOff>
      <xdr:row>37</xdr:row>
      <xdr:rowOff>152400</xdr:rowOff>
    </xdr:from>
    <xdr:to>
      <xdr:col>29</xdr:col>
      <xdr:colOff>560294</xdr:colOff>
      <xdr:row>63</xdr:row>
      <xdr:rowOff>11207</xdr:rowOff>
    </xdr:to>
    <xdr:graphicFrame macro="">
      <xdr:nvGraphicFramePr>
        <xdr:cNvPr id="3" name="Diagra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1</xdr:colOff>
      <xdr:row>34</xdr:row>
      <xdr:rowOff>6723</xdr:rowOff>
    </xdr:from>
    <xdr:to>
      <xdr:col>36</xdr:col>
      <xdr:colOff>1</xdr:colOff>
      <xdr:row>60</xdr:row>
      <xdr:rowOff>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0</xdr:colOff>
      <xdr:row>9</xdr:row>
      <xdr:rowOff>145676</xdr:rowOff>
    </xdr:from>
    <xdr:to>
      <xdr:col>39</xdr:col>
      <xdr:colOff>762001</xdr:colOff>
      <xdr:row>30</xdr:row>
      <xdr:rowOff>156881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5603</xdr:colOff>
      <xdr:row>27</xdr:row>
      <xdr:rowOff>6722</xdr:rowOff>
    </xdr:from>
    <xdr:to>
      <xdr:col>56</xdr:col>
      <xdr:colOff>0</xdr:colOff>
      <xdr:row>65</xdr:row>
      <xdr:rowOff>11206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767603</xdr:colOff>
      <xdr:row>0</xdr:row>
      <xdr:rowOff>242046</xdr:rowOff>
    </xdr:from>
    <xdr:to>
      <xdr:col>55</xdr:col>
      <xdr:colOff>773205</xdr:colOff>
      <xdr:row>23</xdr:row>
      <xdr:rowOff>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60</xdr:col>
      <xdr:colOff>773205</xdr:colOff>
      <xdr:row>11</xdr:row>
      <xdr:rowOff>0</xdr:rowOff>
    </xdr:from>
    <xdr:to>
      <xdr:col>68</xdr:col>
      <xdr:colOff>0</xdr:colOff>
      <xdr:row>35</xdr:row>
      <xdr:rowOff>145677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68</xdr:col>
      <xdr:colOff>605116</xdr:colOff>
      <xdr:row>14</xdr:row>
      <xdr:rowOff>11207</xdr:rowOff>
    </xdr:from>
    <xdr:to>
      <xdr:col>78</xdr:col>
      <xdr:colOff>11205</xdr:colOff>
      <xdr:row>36</xdr:row>
      <xdr:rowOff>1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773205</xdr:colOff>
      <xdr:row>49</xdr:row>
      <xdr:rowOff>152400</xdr:rowOff>
    </xdr:from>
    <xdr:to>
      <xdr:col>68</xdr:col>
      <xdr:colOff>11206</xdr:colOff>
      <xdr:row>74</xdr:row>
      <xdr:rowOff>145677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69</xdr:col>
      <xdr:colOff>11207</xdr:colOff>
      <xdr:row>52</xdr:row>
      <xdr:rowOff>145676</xdr:rowOff>
    </xdr:from>
    <xdr:to>
      <xdr:col>78</xdr:col>
      <xdr:colOff>11205</xdr:colOff>
      <xdr:row>74</xdr:row>
      <xdr:rowOff>156881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85</xdr:col>
      <xdr:colOff>762000</xdr:colOff>
      <xdr:row>0</xdr:row>
      <xdr:rowOff>242047</xdr:rowOff>
    </xdr:from>
    <xdr:to>
      <xdr:col>94</xdr:col>
      <xdr:colOff>0</xdr:colOff>
      <xdr:row>27</xdr:row>
      <xdr:rowOff>0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85</xdr:col>
      <xdr:colOff>773205</xdr:colOff>
      <xdr:row>50</xdr:row>
      <xdr:rowOff>6723</xdr:rowOff>
    </xdr:from>
    <xdr:to>
      <xdr:col>93</xdr:col>
      <xdr:colOff>22411</xdr:colOff>
      <xdr:row>74</xdr:row>
      <xdr:rowOff>145677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93</xdr:col>
      <xdr:colOff>773205</xdr:colOff>
      <xdr:row>52</xdr:row>
      <xdr:rowOff>145677</xdr:rowOff>
    </xdr:from>
    <xdr:to>
      <xdr:col>101</xdr:col>
      <xdr:colOff>11205</xdr:colOff>
      <xdr:row>75</xdr:row>
      <xdr:rowOff>4482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773205</xdr:colOff>
      <xdr:row>142</xdr:row>
      <xdr:rowOff>145676</xdr:rowOff>
    </xdr:from>
    <xdr:to>
      <xdr:col>30</xdr:col>
      <xdr:colOff>1</xdr:colOff>
      <xdr:row>168</xdr:row>
      <xdr:rowOff>156882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11204</xdr:colOff>
      <xdr:row>140</xdr:row>
      <xdr:rowOff>11205</xdr:rowOff>
    </xdr:from>
    <xdr:to>
      <xdr:col>38</xdr:col>
      <xdr:colOff>11206</xdr:colOff>
      <xdr:row>168</xdr:row>
      <xdr:rowOff>0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I608" totalsRowShown="0">
  <autoFilter ref="A2:I608"/>
  <sortState ref="A3:I608">
    <sortCondition ref="A2:A608"/>
  </sortState>
  <tableColumns count="9">
    <tableColumn id="1" name="Tittel"/>
    <tableColumn id="2" name="Forlag"/>
    <tableColumn id="3" name="Forlag (alias)"/>
    <tableColumn id="4" name="Utgivingsår "/>
    <tableColumn id="5" name="Dewey-nummer"/>
    <tableColumn id="6" name="Forfattar"/>
    <tableColumn id="7" name="Omsettar"/>
    <tableColumn id="8" name="Opphavleg språk"/>
    <tableColumn id="9" name="Sjanger (frå Dewey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20"/>
  <sheetViews>
    <sheetView tabSelected="1" topLeftCell="CJ1" zoomScale="85" zoomScaleNormal="85" workbookViewId="0">
      <selection activeCell="DA15" sqref="DA15"/>
    </sheetView>
  </sheetViews>
  <sheetFormatPr baseColWidth="10" defaultColWidth="9.140625" defaultRowHeight="12.75" x14ac:dyDescent="0.2"/>
  <cols>
    <col min="1" max="1" width="50.85546875" bestFit="1" customWidth="1"/>
    <col min="2" max="2" width="31.28515625" bestFit="1" customWidth="1"/>
    <col min="3" max="3" width="27" bestFit="1" customWidth="1"/>
    <col min="4" max="4" width="14.28515625" bestFit="1" customWidth="1"/>
    <col min="5" max="5" width="17.7109375" bestFit="1" customWidth="1"/>
    <col min="6" max="6" width="35" bestFit="1" customWidth="1"/>
    <col min="7" max="7" width="31.7109375" bestFit="1" customWidth="1"/>
    <col min="8" max="8" width="19.7109375" bestFit="1" customWidth="1"/>
    <col min="9" max="9" width="62.5703125" bestFit="1" customWidth="1"/>
    <col min="10" max="12" width="11.5703125"/>
    <col min="13" max="13" width="17.7109375" bestFit="1" customWidth="1"/>
    <col min="14" max="22" width="11.5703125"/>
    <col min="23" max="23" width="19" bestFit="1" customWidth="1"/>
    <col min="24" max="24" width="17.7109375" bestFit="1" customWidth="1"/>
    <col min="25" max="25" width="11.5703125"/>
    <col min="26" max="26" width="16.5703125" customWidth="1"/>
    <col min="27" max="27" width="17.7109375" bestFit="1" customWidth="1"/>
    <col min="28" max="31" width="11.5703125"/>
    <col min="32" max="32" width="36" bestFit="1" customWidth="1"/>
    <col min="33" max="33" width="17.7109375" bestFit="1" customWidth="1"/>
    <col min="34" max="34" width="32.7109375" bestFit="1" customWidth="1"/>
    <col min="35" max="35" width="11.5703125"/>
    <col min="36" max="36" width="29.5703125" bestFit="1" customWidth="1"/>
    <col min="37" max="37" width="17.7109375" bestFit="1" customWidth="1"/>
    <col min="38" max="41" width="11.5703125"/>
    <col min="42" max="42" width="27" bestFit="1" customWidth="1"/>
    <col min="43" max="43" width="17.7109375" bestFit="1" customWidth="1"/>
    <col min="44" max="44" width="26.140625" bestFit="1" customWidth="1"/>
    <col min="45" max="45" width="11.5703125"/>
    <col min="46" max="46" width="25.5703125" bestFit="1" customWidth="1"/>
    <col min="47" max="47" width="17.7109375" bestFit="1" customWidth="1"/>
    <col min="48" max="48" width="16.5703125" customWidth="1"/>
    <col min="49" max="57" width="11.5703125"/>
    <col min="58" max="59" width="17.7109375" bestFit="1" customWidth="1"/>
    <col min="60" max="61" width="11.5703125"/>
    <col min="62" max="62" width="29.5703125" bestFit="1" customWidth="1"/>
    <col min="63" max="63" width="17.7109375" bestFit="1" customWidth="1"/>
    <col min="64" max="68" width="11.5703125"/>
    <col min="70" max="70" width="11.5703125"/>
    <col min="82" max="82" width="11.5703125"/>
    <col min="83" max="84" width="17.7109375" bestFit="1" customWidth="1"/>
    <col min="85" max="86" width="11.5703125"/>
    <col min="87" max="87" width="29.5703125" bestFit="1" customWidth="1"/>
    <col min="88" max="88" width="17.7109375" bestFit="1" customWidth="1"/>
    <col min="89" max="1035" width="11.5703125"/>
  </cols>
  <sheetData>
    <row r="1" spans="1:85" ht="19.5" customHeight="1" x14ac:dyDescent="0.3">
      <c r="A1" s="1" t="str">
        <f>"Tal på verk: "&amp;SUBTOTAL(3,A3:A608)</f>
        <v>Tal på verk: 606</v>
      </c>
      <c r="BF1" s="37" t="s">
        <v>4</v>
      </c>
      <c r="BG1" s="37"/>
      <c r="BH1" s="37"/>
      <c r="BJ1" s="37" t="s">
        <v>4</v>
      </c>
      <c r="BK1" s="37"/>
      <c r="BL1" s="37"/>
      <c r="CE1" s="37" t="s">
        <v>62</v>
      </c>
      <c r="CF1" s="37"/>
      <c r="CG1" s="37"/>
    </row>
    <row r="2" spans="1:85" x14ac:dyDescent="0.2">
      <c r="A2" t="s">
        <v>0</v>
      </c>
      <c r="B2" t="s">
        <v>1</v>
      </c>
      <c r="C2" t="s">
        <v>1262</v>
      </c>
      <c r="D2" t="s">
        <v>1270</v>
      </c>
      <c r="E2" t="s">
        <v>2</v>
      </c>
      <c r="F2" t="s">
        <v>1271</v>
      </c>
      <c r="G2" t="s">
        <v>1272</v>
      </c>
      <c r="H2" t="s">
        <v>1273</v>
      </c>
      <c r="I2" t="s">
        <v>1274</v>
      </c>
      <c r="L2" s="7" t="s">
        <v>1275</v>
      </c>
      <c r="M2" s="7" t="s">
        <v>1340</v>
      </c>
      <c r="W2" s="4" t="s">
        <v>1273</v>
      </c>
      <c r="X2" s="4" t="s">
        <v>1340</v>
      </c>
      <c r="Y2" s="4" t="s">
        <v>1314</v>
      </c>
      <c r="AF2" s="4" t="s">
        <v>1312</v>
      </c>
      <c r="AG2" s="4" t="s">
        <v>1340</v>
      </c>
      <c r="AH2" s="11" t="s">
        <v>1261</v>
      </c>
      <c r="AJ2" s="15" t="s">
        <v>1268</v>
      </c>
      <c r="AK2" s="4" t="s">
        <v>1340</v>
      </c>
      <c r="AL2" s="4" t="s">
        <v>1314</v>
      </c>
      <c r="AP2" s="4" t="s">
        <v>1</v>
      </c>
      <c r="AQ2" s="4" t="s">
        <v>1340</v>
      </c>
      <c r="AR2" s="11" t="s">
        <v>1261</v>
      </c>
      <c r="AT2" s="4" t="s">
        <v>1262</v>
      </c>
      <c r="AU2" s="4" t="s">
        <v>1340</v>
      </c>
      <c r="AV2" s="4" t="s">
        <v>1314</v>
      </c>
      <c r="BF2" s="4" t="s">
        <v>1273</v>
      </c>
      <c r="BG2" s="4" t="s">
        <v>1340</v>
      </c>
      <c r="BH2" s="4" t="s">
        <v>1314</v>
      </c>
      <c r="BJ2" s="15" t="s">
        <v>1268</v>
      </c>
      <c r="BK2" s="4" t="s">
        <v>1340</v>
      </c>
      <c r="BL2" s="4" t="s">
        <v>1314</v>
      </c>
      <c r="CE2" s="4" t="s">
        <v>1273</v>
      </c>
      <c r="CF2" s="4" t="s">
        <v>1340</v>
      </c>
      <c r="CG2" s="4" t="s">
        <v>1314</v>
      </c>
    </row>
    <row r="3" spans="1:85" x14ac:dyDescent="0.2">
      <c r="A3" t="s">
        <v>309</v>
      </c>
      <c r="B3" t="s">
        <v>272</v>
      </c>
      <c r="C3" t="s">
        <v>272</v>
      </c>
      <c r="D3">
        <v>2002</v>
      </c>
      <c r="E3" t="s">
        <v>220</v>
      </c>
      <c r="F3" t="s">
        <v>310</v>
      </c>
      <c r="G3" t="s">
        <v>46</v>
      </c>
      <c r="H3" t="s">
        <v>156</v>
      </c>
      <c r="I3" t="s">
        <v>38</v>
      </c>
      <c r="L3" s="6">
        <v>1990</v>
      </c>
      <c r="M3" s="6">
        <f>COUNTIF($D$3:$D$608,1990)</f>
        <v>6</v>
      </c>
      <c r="W3" s="6" t="s">
        <v>1278</v>
      </c>
      <c r="X3" s="6">
        <f>COUNTIF($H$3:$H$608,"ara")</f>
        <v>2</v>
      </c>
      <c r="Y3" s="18">
        <f>X3/$X$36</f>
        <v>3.3003300330033004E-3</v>
      </c>
      <c r="AF3" s="6" t="s">
        <v>317</v>
      </c>
      <c r="AG3" s="6">
        <f>COUNTIF($I$3:$I$608,"Afro-Asiatic literatures, Semitic literatures")</f>
        <v>4</v>
      </c>
      <c r="AH3" s="12" t="s">
        <v>1264</v>
      </c>
      <c r="AJ3" s="6" t="s">
        <v>1269</v>
      </c>
      <c r="AK3" s="6">
        <f>AG7</f>
        <v>246</v>
      </c>
      <c r="AL3" s="18">
        <f>AK3/$AK$8</f>
        <v>0.40594059405940597</v>
      </c>
      <c r="AP3" s="6" t="s">
        <v>397</v>
      </c>
      <c r="AQ3" s="6">
        <f>COUNTIF($C$3:$C$608,"Agder teater")</f>
        <v>1</v>
      </c>
      <c r="AR3" s="12" t="s">
        <v>1260</v>
      </c>
      <c r="AT3" s="6" t="s">
        <v>280</v>
      </c>
      <c r="AU3" s="6">
        <f>AQ4</f>
        <v>7</v>
      </c>
      <c r="AV3" s="18">
        <f>AU3/$AU$24</f>
        <v>1.155115511551155E-2</v>
      </c>
      <c r="BF3" s="6" t="s">
        <v>1278</v>
      </c>
      <c r="BG3" s="6">
        <f>COUNTIFS($C$3:$C$608,"Samlaget", $H$3:$H$608,"ara")</f>
        <v>0</v>
      </c>
      <c r="BH3" s="18">
        <f>BG3/$BG$36</f>
        <v>0</v>
      </c>
      <c r="BJ3" s="6" t="s">
        <v>1269</v>
      </c>
      <c r="BK3" s="6">
        <f>COUNTIFS($C$3:$C$608,"Samlaget", $I$3:$I$608,"Children's literature")</f>
        <v>127</v>
      </c>
      <c r="BL3" s="18">
        <f>BK3/$BK$8</f>
        <v>0.53138075313807531</v>
      </c>
      <c r="CE3" s="6" t="s">
        <v>1278</v>
      </c>
      <c r="CF3" s="6">
        <f>COUNTIFS($C$3:$C$608,"Det norske teatret", $H$3:$H$608,"ara")</f>
        <v>0</v>
      </c>
      <c r="CG3" s="18">
        <f>CF3/$CF$36</f>
        <v>0</v>
      </c>
    </row>
    <row r="4" spans="1:85" x14ac:dyDescent="0.2">
      <c r="A4" t="s">
        <v>787</v>
      </c>
      <c r="B4" t="s">
        <v>788</v>
      </c>
      <c r="C4" t="s">
        <v>788</v>
      </c>
      <c r="D4">
        <v>2009</v>
      </c>
      <c r="E4" t="s">
        <v>789</v>
      </c>
      <c r="F4" t="s">
        <v>790</v>
      </c>
      <c r="G4" t="s">
        <v>791</v>
      </c>
      <c r="H4" t="s">
        <v>639</v>
      </c>
      <c r="I4" t="s">
        <v>463</v>
      </c>
      <c r="L4" s="5">
        <v>1991</v>
      </c>
      <c r="M4" s="5">
        <f>COUNTIF($D$3:$D$608,1991)</f>
        <v>19</v>
      </c>
      <c r="W4" s="5" t="s">
        <v>1279</v>
      </c>
      <c r="X4" s="5">
        <f>COUNTIF($H$3:$H$608,"bul")</f>
        <v>1</v>
      </c>
      <c r="Y4" s="17">
        <f t="shared" ref="Y4:Y35" si="0">X4/$X$36</f>
        <v>1.6501650165016502E-3</v>
      </c>
      <c r="AF4" s="5" t="s">
        <v>1093</v>
      </c>
      <c r="AG4" s="5">
        <f>COUNTIF($I$3:$I$608,"Altaic, Uralic, Hyperborean &amp; Dravidian")</f>
        <v>9</v>
      </c>
      <c r="AH4" s="9" t="s">
        <v>1265</v>
      </c>
      <c r="AJ4" s="5" t="s">
        <v>1264</v>
      </c>
      <c r="AK4" s="5">
        <f>AG3+AG6+AG8+AG12+AG13+AG15+AG16+AG20+AG22+AG23+AG27+AG28+AG30+9+11</f>
        <v>89</v>
      </c>
      <c r="AL4" s="17">
        <f t="shared" ref="AL4:AL7" si="1">AK4/$AK$8</f>
        <v>0.14686468646864687</v>
      </c>
      <c r="AP4" s="5" t="s">
        <v>280</v>
      </c>
      <c r="AQ4" s="5">
        <f>COUNTIF($C$3:$C$608,"Aschehoug")</f>
        <v>7</v>
      </c>
      <c r="AR4" s="9" t="s">
        <v>280</v>
      </c>
      <c r="AT4" s="5" t="s">
        <v>94</v>
      </c>
      <c r="AU4" s="5">
        <f>AQ7</f>
        <v>20</v>
      </c>
      <c r="AV4" s="17">
        <f t="shared" ref="AV4:AV23" si="2">AU4/$AU$24</f>
        <v>3.3003300330033E-2</v>
      </c>
      <c r="BF4" s="5" t="s">
        <v>1279</v>
      </c>
      <c r="BG4" s="5">
        <f>COUNTIFS($C$3:$C$608,"Samlaget", $H$3:$H$608,"bul")</f>
        <v>0</v>
      </c>
      <c r="BH4" s="17">
        <f t="shared" ref="BH4:BH35" si="3">BG4/$BG$36</f>
        <v>0</v>
      </c>
      <c r="BJ4" s="5" t="s">
        <v>1264</v>
      </c>
      <c r="BK4" s="16">
        <f>COUNTIFS($C$3:$C$608,"Samlaget", $I$3:$I$608,"Afro-Asiatic literatures, Semitic literatures")+COUNTIFS($C$3:$C$608,"Samlaget", $I$3:$I$608,"American poetry in English")+COUNTIFS($C$3:$C$608,"Samlaget", $I$3:$I$608,"Classical Greek epic poetry &amp; fiction")+COUNTIFS($C$3:$C$608,"Samlaget", $I$3:$I$608,"English miscellaneous writings")+COUNTIFS($C$3:$C$608,"Samlaget", $I$3:$I$608,"English poetry")+COUNTIFS($C$3:$C$608,"Samlaget", $I$3:$I$608,"French miscellaneous writings")+COUNTIFS($C$3:$C$608,"Samlaget",$I$3:$I$608,"French poetry")+COUNTIFS($C$3:$C$608,"Samlaget",$I$3:$I$608,"German poetry")+COUNTIFS($C$3:$C$608,"Samlaget",$I$3:$I$608,"Italian poetry")+COUNTIFS($C$3:$C$608,"Samlaget",$I$3:$I$608,"Latin poetry")+COUNTIFS($C$3:$C$608,"Samlaget",$I$3:$I$608,"Portuguese literature")+COUNTIFS($C$3:$C$608,"Samlaget",$I$3:$I$608,"Rhetoric &amp; collections of literature")+COUNTIFS($C$3:$C$608,"Samlaget",$I$3:$I$608,"Spanish poetry")+2+3</f>
        <v>30</v>
      </c>
      <c r="BL4" s="21">
        <f t="shared" ref="BL4:BL7" si="4">BK4/$BK$8</f>
        <v>0.12552301255230125</v>
      </c>
      <c r="CE4" s="5" t="s">
        <v>1279</v>
      </c>
      <c r="CF4" s="5">
        <f>COUNTIFS($C$3:$C$608,"Det norske teatret", $H$3:$H$608,"bul")</f>
        <v>0</v>
      </c>
      <c r="CG4" s="17">
        <f t="shared" ref="CG4:CG35" si="5">CF4/$CF$36</f>
        <v>0</v>
      </c>
    </row>
    <row r="5" spans="1:85" x14ac:dyDescent="0.2">
      <c r="A5" t="s">
        <v>995</v>
      </c>
      <c r="B5" t="s">
        <v>788</v>
      </c>
      <c r="C5" t="s">
        <v>788</v>
      </c>
      <c r="D5">
        <v>2009</v>
      </c>
      <c r="E5" t="s">
        <v>996</v>
      </c>
      <c r="F5" t="s">
        <v>997</v>
      </c>
      <c r="G5" t="s">
        <v>998</v>
      </c>
      <c r="H5" t="s">
        <v>999</v>
      </c>
      <c r="I5" t="s">
        <v>1000</v>
      </c>
      <c r="L5" s="6">
        <v>1992</v>
      </c>
      <c r="M5" s="6">
        <f>COUNTIF($D$3:$D$608,1992)</f>
        <v>15</v>
      </c>
      <c r="W5" s="6" t="s">
        <v>1282</v>
      </c>
      <c r="X5" s="6">
        <f>COUNTIF($H$3:$H$608,"cat")</f>
        <v>1</v>
      </c>
      <c r="Y5" s="18">
        <f t="shared" si="0"/>
        <v>1.6501650165016502E-3</v>
      </c>
      <c r="AF5" s="6" t="s">
        <v>174</v>
      </c>
      <c r="AG5" s="6">
        <f>COUNTIF($I$3:$I$608,"American fiction in English")</f>
        <v>15</v>
      </c>
      <c r="AH5" s="12" t="s">
        <v>1265</v>
      </c>
      <c r="AJ5" s="6" t="s">
        <v>38</v>
      </c>
      <c r="AK5" s="6">
        <f>AG9+AG24+AG25+11+32</f>
        <v>154</v>
      </c>
      <c r="AL5" s="18">
        <f t="shared" si="1"/>
        <v>0.25412541254125415</v>
      </c>
      <c r="AP5" s="6" t="s">
        <v>297</v>
      </c>
      <c r="AQ5" s="6">
        <f>COUNTIF($C$3:$C$608,"Baskerville")</f>
        <v>4</v>
      </c>
      <c r="AR5" s="12" t="s">
        <v>1260</v>
      </c>
      <c r="AT5" s="6" t="s">
        <v>48</v>
      </c>
      <c r="AU5" s="6">
        <f>AQ8</f>
        <v>6</v>
      </c>
      <c r="AV5" s="18">
        <f t="shared" si="2"/>
        <v>9.9009900990099011E-3</v>
      </c>
      <c r="BF5" s="6" t="s">
        <v>1282</v>
      </c>
      <c r="BG5" s="6">
        <f>COUNTIFS($C$3:$C$608,"Samlaget", $H$3:$H$608,"cat")</f>
        <v>0</v>
      </c>
      <c r="BH5" s="18">
        <f t="shared" si="3"/>
        <v>0</v>
      </c>
      <c r="BJ5" s="6" t="s">
        <v>38</v>
      </c>
      <c r="BK5" s="6">
        <f>COUNTIFS($C$3:$C$608,"Samlaget", $I$3:$I$608,"Drama")+COUNTIFS($C$3:$C$608,"Samlaget", $I$3:$I$608,"Literatures of East &amp; Southeast Asia")+COUNTIFS($C$3:$C$608,"Samlaget", $I$3:$I$608,"Occitan &amp; Catalan literatures")</f>
        <v>22</v>
      </c>
      <c r="BL5" s="18">
        <f t="shared" si="4"/>
        <v>9.2050209205020925E-2</v>
      </c>
      <c r="CE5" s="6" t="s">
        <v>1282</v>
      </c>
      <c r="CF5" s="6">
        <f>COUNTIFS($C$3:$C$608,"Det norske teatret", $H$3:$H$608,"cat")</f>
        <v>1</v>
      </c>
      <c r="CG5" s="18">
        <f t="shared" si="5"/>
        <v>1.2500000000000001E-2</v>
      </c>
    </row>
    <row r="6" spans="1:85" x14ac:dyDescent="0.2">
      <c r="A6" t="s">
        <v>769</v>
      </c>
      <c r="B6" t="s">
        <v>62</v>
      </c>
      <c r="C6" t="s">
        <v>62</v>
      </c>
      <c r="D6">
        <v>1995</v>
      </c>
      <c r="E6" t="s">
        <v>637</v>
      </c>
      <c r="F6" t="s">
        <v>770</v>
      </c>
      <c r="G6" t="s">
        <v>650</v>
      </c>
      <c r="H6" t="s">
        <v>639</v>
      </c>
      <c r="I6" t="s">
        <v>463</v>
      </c>
      <c r="L6" s="5">
        <v>1993</v>
      </c>
      <c r="M6" s="5">
        <f>COUNTIF($D$3:$D$608,1993)</f>
        <v>31</v>
      </c>
      <c r="W6" s="5" t="s">
        <v>1281</v>
      </c>
      <c r="X6" s="5">
        <f>COUNTIF($H$3:$H$608,"cze")</f>
        <v>1</v>
      </c>
      <c r="Y6" s="17">
        <f t="shared" si="0"/>
        <v>1.6501650165016502E-3</v>
      </c>
      <c r="AF6" s="5" t="s">
        <v>195</v>
      </c>
      <c r="AG6" s="5">
        <f>COUNTIF($I$3:$I$608,"American poetry in English")</f>
        <v>11</v>
      </c>
      <c r="AH6" s="9" t="s">
        <v>1264</v>
      </c>
      <c r="AJ6" s="5" t="s">
        <v>1265</v>
      </c>
      <c r="AK6" s="5">
        <f>AG4+AG5+AG11+AG14+AG17+AG21+AG29+2+8</f>
        <v>80</v>
      </c>
      <c r="AL6" s="17">
        <f t="shared" si="1"/>
        <v>0.132013201320132</v>
      </c>
      <c r="AP6" s="5" t="s">
        <v>540</v>
      </c>
      <c r="AQ6" s="5">
        <f>COUNTIF($C$3:$C$608,"Bokklubben")</f>
        <v>3</v>
      </c>
      <c r="AR6" s="9" t="s">
        <v>1260</v>
      </c>
      <c r="AT6" s="5" t="s">
        <v>17</v>
      </c>
      <c r="AU6" s="5">
        <f>AQ9</f>
        <v>26</v>
      </c>
      <c r="AV6" s="17">
        <f t="shared" si="2"/>
        <v>4.2904290429042903E-2</v>
      </c>
      <c r="BF6" s="5" t="s">
        <v>1281</v>
      </c>
      <c r="BG6" s="5">
        <f>COUNTIFS($C$3:$C$608,"Samlaget", $H$3:$H$608,"cze")</f>
        <v>0</v>
      </c>
      <c r="BH6" s="17">
        <f t="shared" si="3"/>
        <v>0</v>
      </c>
      <c r="BJ6" s="5" t="s">
        <v>1265</v>
      </c>
      <c r="BK6" s="16">
        <f>COUNTIFS($C$3:$C$608,"Samlaget", $I$3:$I$608,"Altaic, Uralic, Hyperborean &amp; Dravidian")+COUNTIFS($C$3:$C$608,"Samlaget", $I$3:$I$608,"American fiction in English")+COUNTIFS($C$3:$C$608,"Samlaget", $I$3:$I$608,"English fiction")+COUNTIFS($C$3:$C$608,"Samlaget", $I$3:$I$608,"French fiction")+COUNTIFS($C$3:$C$608,"Samlaget", $I$3:$I$608,"German fiction")+COUNTIFS($C$3:$C$608,"Samlaget", $I$3:$I$608,"Italian fiction")+COUNTIFS($C$3:$C$608,"Samlaget", $I$3:$I$608,"Spanish fiction")+7</f>
        <v>39</v>
      </c>
      <c r="BL6" s="21">
        <f t="shared" si="4"/>
        <v>0.16317991631799164</v>
      </c>
      <c r="CE6" s="5" t="s">
        <v>1281</v>
      </c>
      <c r="CF6" s="5">
        <f>COUNTIFS($C$3:$C$608,"Det norske teatret", $H$3:$H$608,"cze")</f>
        <v>0</v>
      </c>
      <c r="CG6" s="17">
        <f t="shared" si="5"/>
        <v>0</v>
      </c>
    </row>
    <row r="7" spans="1:85" x14ac:dyDescent="0.2">
      <c r="A7" t="s">
        <v>114</v>
      </c>
      <c r="B7" t="s">
        <v>25</v>
      </c>
      <c r="C7" t="s">
        <v>25</v>
      </c>
      <c r="D7">
        <v>2004</v>
      </c>
      <c r="E7" t="s">
        <v>5</v>
      </c>
      <c r="F7" t="s">
        <v>115</v>
      </c>
      <c r="G7" t="s">
        <v>27</v>
      </c>
      <c r="H7" t="s">
        <v>7</v>
      </c>
      <c r="I7" t="s">
        <v>8</v>
      </c>
      <c r="L7" s="6">
        <v>1994</v>
      </c>
      <c r="M7" s="6">
        <f>COUNTIF($D$3:$D$608,1994)</f>
        <v>35</v>
      </c>
      <c r="W7" s="6" t="s">
        <v>1280</v>
      </c>
      <c r="X7" s="6">
        <f>COUNTIF($H$3:$H$608,"dan")</f>
        <v>41</v>
      </c>
      <c r="Y7" s="18">
        <f t="shared" si="0"/>
        <v>6.7656765676567657E-2</v>
      </c>
      <c r="AF7" s="6" t="s">
        <v>8</v>
      </c>
      <c r="AG7" s="6">
        <f>COUNTIF($I$3:$I$608,"Children's literature")</f>
        <v>246</v>
      </c>
      <c r="AH7" s="12" t="s">
        <v>1263</v>
      </c>
      <c r="AJ7" s="6" t="s">
        <v>1267</v>
      </c>
      <c r="AK7" s="6">
        <f>AG18+AG19+35</f>
        <v>37</v>
      </c>
      <c r="AL7" s="18">
        <f t="shared" si="1"/>
        <v>6.1056105610561059E-2</v>
      </c>
      <c r="AP7" s="6" t="s">
        <v>94</v>
      </c>
      <c r="AQ7" s="6">
        <f>COUNTIF($C$3:$C$608,"Bokklubbens barn")</f>
        <v>20</v>
      </c>
      <c r="AR7" s="12" t="s">
        <v>94</v>
      </c>
      <c r="AT7" s="6" t="s">
        <v>304</v>
      </c>
      <c r="AU7" s="6">
        <f>AQ12</f>
        <v>7</v>
      </c>
      <c r="AV7" s="18">
        <f t="shared" si="2"/>
        <v>1.155115511551155E-2</v>
      </c>
      <c r="BF7" s="6" t="s">
        <v>1280</v>
      </c>
      <c r="BG7" s="6">
        <f>COUNTIFS($C$3:$C$608,"Samlaget", $H$3:$H$608,"dan")</f>
        <v>17</v>
      </c>
      <c r="BH7" s="18">
        <f t="shared" si="3"/>
        <v>7.1129707112970716E-2</v>
      </c>
      <c r="BJ7" s="6" t="s">
        <v>1267</v>
      </c>
      <c r="BK7" s="6">
        <f>COUNTIFS($C$3:$C$608,"Samlaget", $I$3:$I$608,"German letters")+COUNTIFS($C$3:$C$608,"Samlaget", $I$3:$I$608,"German miscellaneous writings")+20</f>
        <v>21</v>
      </c>
      <c r="BL7" s="18">
        <f t="shared" si="4"/>
        <v>8.7866108786610872E-2</v>
      </c>
      <c r="CE7" s="6" t="s">
        <v>1280</v>
      </c>
      <c r="CF7" s="6">
        <f>COUNTIFS($C$3:$C$608,"Det norske teatret", $H$3:$H$608,"dan")</f>
        <v>2</v>
      </c>
      <c r="CG7" s="18">
        <f t="shared" si="5"/>
        <v>2.5000000000000001E-2</v>
      </c>
    </row>
    <row r="8" spans="1:85" x14ac:dyDescent="0.2">
      <c r="A8" t="s">
        <v>24</v>
      </c>
      <c r="B8" t="s">
        <v>25</v>
      </c>
      <c r="C8" t="s">
        <v>25</v>
      </c>
      <c r="D8">
        <v>2005</v>
      </c>
      <c r="E8" t="s">
        <v>5</v>
      </c>
      <c r="F8" t="s">
        <v>26</v>
      </c>
      <c r="G8" t="s">
        <v>27</v>
      </c>
      <c r="H8" t="s">
        <v>7</v>
      </c>
      <c r="I8" t="s">
        <v>8</v>
      </c>
      <c r="L8" s="5">
        <v>1995</v>
      </c>
      <c r="M8" s="5">
        <f>COUNTIF($D$3:$D$608,1995)</f>
        <v>20</v>
      </c>
      <c r="W8" s="5" t="s">
        <v>1283</v>
      </c>
      <c r="X8" s="5">
        <f>COUNTIF($H$3:$H$608,"dut")</f>
        <v>26</v>
      </c>
      <c r="Y8" s="17">
        <f t="shared" si="0"/>
        <v>4.2904290429042903E-2</v>
      </c>
      <c r="AF8" s="8" t="s">
        <v>1136</v>
      </c>
      <c r="AG8" s="5">
        <f>COUNTIF($I$3:$I$608,"Classical Greek epic poetry &amp; fiction")</f>
        <v>1</v>
      </c>
      <c r="AH8" s="9" t="s">
        <v>1264</v>
      </c>
      <c r="AJ8" s="4" t="s">
        <v>1310</v>
      </c>
      <c r="AK8" s="4">
        <f>SUM(AK3:AK7)</f>
        <v>606</v>
      </c>
      <c r="AL8" s="19">
        <f>SUM(AL3:AL7)</f>
        <v>1</v>
      </c>
      <c r="AP8" s="5" t="s">
        <v>48</v>
      </c>
      <c r="AQ8" s="5">
        <f>COUNTIF($C$3:$C$608,"Bokvennen")</f>
        <v>6</v>
      </c>
      <c r="AR8" s="9" t="s">
        <v>48</v>
      </c>
      <c r="AT8" s="5" t="s">
        <v>62</v>
      </c>
      <c r="AU8" s="5">
        <f>AQ15</f>
        <v>80</v>
      </c>
      <c r="AV8" s="17">
        <f t="shared" si="2"/>
        <v>0.132013201320132</v>
      </c>
      <c r="BF8" s="5" t="s">
        <v>1283</v>
      </c>
      <c r="BG8" s="5">
        <f>COUNTIFS($C$3:$C$608,"Samlaget", $H$3:$H$608,"dut")</f>
        <v>18</v>
      </c>
      <c r="BH8" s="17">
        <f t="shared" si="3"/>
        <v>7.5313807531380755E-2</v>
      </c>
      <c r="BJ8" s="4" t="s">
        <v>1310</v>
      </c>
      <c r="BK8" s="4">
        <f>SUM(BK3:BK7)</f>
        <v>239</v>
      </c>
      <c r="BL8" s="20">
        <f>SUM(BL3:BL7)</f>
        <v>1</v>
      </c>
      <c r="CE8" s="5" t="s">
        <v>1283</v>
      </c>
      <c r="CF8" s="5">
        <f>COUNTIFS($C$3:$C$608,"Det norske teatret", $H$3:$H$608,"dut")</f>
        <v>2</v>
      </c>
      <c r="CG8" s="17">
        <f t="shared" si="5"/>
        <v>2.5000000000000001E-2</v>
      </c>
    </row>
    <row r="9" spans="1:85" x14ac:dyDescent="0.2">
      <c r="A9" t="s">
        <v>1178</v>
      </c>
      <c r="B9" t="s">
        <v>1179</v>
      </c>
      <c r="C9" t="s">
        <v>1179</v>
      </c>
      <c r="D9">
        <v>2008</v>
      </c>
      <c r="E9" t="s">
        <v>1180</v>
      </c>
      <c r="F9" t="s">
        <v>1181</v>
      </c>
      <c r="G9" t="s">
        <v>1182</v>
      </c>
      <c r="H9" t="s">
        <v>1158</v>
      </c>
      <c r="I9" t="s">
        <v>463</v>
      </c>
      <c r="L9" s="6">
        <v>1996</v>
      </c>
      <c r="M9" s="6">
        <f>COUNTIF($D$3:$D$608,1996)</f>
        <v>25</v>
      </c>
      <c r="W9" s="6" t="s">
        <v>1284</v>
      </c>
      <c r="X9" s="6">
        <f>COUNTIF($H$3:$H$608,"eng")</f>
        <v>133</v>
      </c>
      <c r="Y9" s="18">
        <f t="shared" si="0"/>
        <v>0.21947194719471946</v>
      </c>
      <c r="AF9" s="13" t="s">
        <v>38</v>
      </c>
      <c r="AG9" s="6">
        <f>COUNTIF($I$3:$I$608,"Drama")</f>
        <v>109</v>
      </c>
      <c r="AH9" s="12" t="s">
        <v>38</v>
      </c>
      <c r="AP9" s="6" t="s">
        <v>17</v>
      </c>
      <c r="AQ9" s="6">
        <f>COUNTIF($C$3:$C$608,"Cappelen Damm")</f>
        <v>26</v>
      </c>
      <c r="AR9" s="12" t="s">
        <v>17</v>
      </c>
      <c r="AT9" s="6" t="s">
        <v>152</v>
      </c>
      <c r="AU9" s="6">
        <f>AQ21</f>
        <v>11</v>
      </c>
      <c r="AV9" s="18">
        <f t="shared" si="2"/>
        <v>1.8151815181518153E-2</v>
      </c>
      <c r="BF9" s="6" t="s">
        <v>1284</v>
      </c>
      <c r="BG9" s="6">
        <f>COUNTIFS($C$3:$C$608,"Samlaget", $H$3:$H$608,"eng")</f>
        <v>40</v>
      </c>
      <c r="BH9" s="18">
        <f t="shared" si="3"/>
        <v>0.16736401673640167</v>
      </c>
      <c r="CE9" s="6" t="s">
        <v>1284</v>
      </c>
      <c r="CF9" s="6">
        <f>COUNTIFS($C$3:$C$608,"Det norske teatret", $H$3:$H$608,"eng")</f>
        <v>14</v>
      </c>
      <c r="CG9" s="18">
        <f t="shared" si="5"/>
        <v>0.17499999999999999</v>
      </c>
    </row>
    <row r="10" spans="1:85" x14ac:dyDescent="0.2">
      <c r="A10" t="s">
        <v>132</v>
      </c>
      <c r="B10" t="s">
        <v>30</v>
      </c>
      <c r="C10" t="s">
        <v>30</v>
      </c>
      <c r="D10">
        <v>2005</v>
      </c>
      <c r="E10" t="s">
        <v>5</v>
      </c>
      <c r="F10" t="s">
        <v>133</v>
      </c>
      <c r="G10" t="s">
        <v>134</v>
      </c>
      <c r="H10" t="s">
        <v>7</v>
      </c>
      <c r="I10" t="s">
        <v>8</v>
      </c>
      <c r="L10" s="5">
        <v>1997</v>
      </c>
      <c r="M10" s="5">
        <f>COUNTIF($D$3:$D$608,1997)</f>
        <v>30</v>
      </c>
      <c r="W10" s="5" t="s">
        <v>1285</v>
      </c>
      <c r="X10" s="5">
        <f>COUNTIF($H$3:$H$608,"est")</f>
        <v>5</v>
      </c>
      <c r="Y10" s="17">
        <f t="shared" si="0"/>
        <v>8.2508250825082501E-3</v>
      </c>
      <c r="AF10" s="5" t="s">
        <v>452</v>
      </c>
      <c r="AG10" s="5">
        <f>COUNTIF($I$3:$I$608,"East Indo-European &amp; Celtic literatures")</f>
        <v>22</v>
      </c>
      <c r="AH10" s="10" t="s">
        <v>1266</v>
      </c>
      <c r="AP10" s="5" t="s">
        <v>1088</v>
      </c>
      <c r="AQ10" s="5">
        <f>COUNTIF($C$3:$C$608,"Davvi girji")</f>
        <v>1</v>
      </c>
      <c r="AR10" s="9" t="s">
        <v>1260</v>
      </c>
      <c r="AT10" s="5" t="s">
        <v>231</v>
      </c>
      <c r="AU10" s="5">
        <f>AQ22</f>
        <v>26</v>
      </c>
      <c r="AV10" s="17">
        <f t="shared" si="2"/>
        <v>4.2904290429042903E-2</v>
      </c>
      <c r="BF10" s="5" t="s">
        <v>1285</v>
      </c>
      <c r="BG10" s="5">
        <f>COUNTIFS($C$3:$C$608,"Samlaget", $H$3:$H$608,"est")</f>
        <v>1</v>
      </c>
      <c r="BH10" s="17">
        <f t="shared" si="3"/>
        <v>4.1841004184100415E-3</v>
      </c>
      <c r="CE10" s="5" t="s">
        <v>1285</v>
      </c>
      <c r="CF10" s="5">
        <f>COUNTIFS($C$3:$C$608,"Det norske teatret", $H$3:$H$608,"est")</f>
        <v>0</v>
      </c>
      <c r="CG10" s="17">
        <f t="shared" si="5"/>
        <v>0</v>
      </c>
    </row>
    <row r="11" spans="1:85" x14ac:dyDescent="0.2">
      <c r="A11" t="s">
        <v>559</v>
      </c>
      <c r="B11" t="s">
        <v>4</v>
      </c>
      <c r="C11" t="s">
        <v>4</v>
      </c>
      <c r="D11">
        <v>2009</v>
      </c>
      <c r="E11" t="s">
        <v>536</v>
      </c>
      <c r="F11" t="s">
        <v>560</v>
      </c>
      <c r="G11" t="s">
        <v>369</v>
      </c>
      <c r="H11" t="s">
        <v>516</v>
      </c>
      <c r="I11" t="s">
        <v>8</v>
      </c>
      <c r="L11" s="6">
        <v>1998</v>
      </c>
      <c r="M11" s="6">
        <f>COUNTIF($D$3:$D$608,1998)</f>
        <v>29</v>
      </c>
      <c r="W11" s="6" t="s">
        <v>1286</v>
      </c>
      <c r="X11" s="6">
        <f>COUNTIF($H$3:$H$608,"fao")</f>
        <v>9</v>
      </c>
      <c r="Y11" s="18">
        <f t="shared" si="0"/>
        <v>1.4851485148514851E-2</v>
      </c>
      <c r="AF11" s="6" t="s">
        <v>170</v>
      </c>
      <c r="AG11" s="6">
        <f>COUNTIF($I$3:$I$608,"English fiction")</f>
        <v>10</v>
      </c>
      <c r="AH11" s="12" t="s">
        <v>1265</v>
      </c>
      <c r="AP11" s="6" t="s">
        <v>489</v>
      </c>
      <c r="AQ11" s="6">
        <f>COUNTIF($C$3:$C$608,"De norske bokklubbene")</f>
        <v>1</v>
      </c>
      <c r="AR11" s="12" t="s">
        <v>1260</v>
      </c>
      <c r="AT11" s="6" t="s">
        <v>34</v>
      </c>
      <c r="AU11" s="6">
        <f>AQ26</f>
        <v>11</v>
      </c>
      <c r="AV11" s="18">
        <f t="shared" si="2"/>
        <v>1.8151815181518153E-2</v>
      </c>
      <c r="BF11" s="6" t="s">
        <v>1286</v>
      </c>
      <c r="BG11" s="6">
        <f>COUNTIFS($C$3:$C$608,"Samlaget", $H$3:$H$608,"fao")</f>
        <v>4</v>
      </c>
      <c r="BH11" s="18">
        <f t="shared" si="3"/>
        <v>1.6736401673640166E-2</v>
      </c>
      <c r="CE11" s="6" t="s">
        <v>1286</v>
      </c>
      <c r="CF11" s="6">
        <f>COUNTIFS($C$3:$C$608,"Det norske teatret", $H$3:$H$608,"fao")</f>
        <v>0</v>
      </c>
      <c r="CG11" s="18">
        <f t="shared" si="5"/>
        <v>0</v>
      </c>
    </row>
    <row r="12" spans="1:85" x14ac:dyDescent="0.2">
      <c r="A12" t="s">
        <v>898</v>
      </c>
      <c r="B12" t="s">
        <v>80</v>
      </c>
      <c r="C12" t="s">
        <v>17</v>
      </c>
      <c r="D12">
        <v>2005</v>
      </c>
      <c r="E12" t="s">
        <v>899</v>
      </c>
      <c r="F12" t="s">
        <v>900</v>
      </c>
      <c r="G12" t="s">
        <v>263</v>
      </c>
      <c r="H12" t="s">
        <v>901</v>
      </c>
      <c r="I12" t="s">
        <v>317</v>
      </c>
      <c r="L12" s="5">
        <v>1999</v>
      </c>
      <c r="M12" s="5">
        <f>COUNTIF($D$3:$D$608,1999)</f>
        <v>34</v>
      </c>
      <c r="W12" s="5" t="s">
        <v>1287</v>
      </c>
      <c r="X12" s="5">
        <f>COUNTIF($H$3:$H$608,"fin")</f>
        <v>7</v>
      </c>
      <c r="Y12" s="17">
        <f t="shared" si="0"/>
        <v>1.155115511551155E-2</v>
      </c>
      <c r="AF12" s="5" t="s">
        <v>373</v>
      </c>
      <c r="AG12" s="5">
        <f>COUNTIF($I$3:$I$608,"English miscellaneous writings")</f>
        <v>1</v>
      </c>
      <c r="AH12" s="9" t="s">
        <v>1264</v>
      </c>
      <c r="AP12" s="5" t="s">
        <v>304</v>
      </c>
      <c r="AQ12" s="5">
        <f>COUNTIF($C$3:$C$608,"Den nationale scene")</f>
        <v>7</v>
      </c>
      <c r="AR12" s="9" t="s">
        <v>304</v>
      </c>
      <c r="AT12" s="5" t="s">
        <v>117</v>
      </c>
      <c r="AU12" s="5">
        <f>AQ33</f>
        <v>14</v>
      </c>
      <c r="AV12" s="17">
        <f t="shared" si="2"/>
        <v>2.3102310231023101E-2</v>
      </c>
      <c r="BF12" s="5" t="s">
        <v>1287</v>
      </c>
      <c r="BG12" s="5">
        <f>COUNTIFS($C$3:$C$608,"Samlaget", $H$3:$H$608,"fin")</f>
        <v>3</v>
      </c>
      <c r="BH12" s="17">
        <f t="shared" si="3"/>
        <v>1.2552301255230125E-2</v>
      </c>
      <c r="CE12" s="5" t="s">
        <v>1287</v>
      </c>
      <c r="CF12" s="5">
        <f>COUNTIFS($C$3:$C$608,"Det norske teatret", $H$3:$H$608,"fin")</f>
        <v>0</v>
      </c>
      <c r="CG12" s="17">
        <f t="shared" si="5"/>
        <v>0</v>
      </c>
    </row>
    <row r="13" spans="1:85" x14ac:dyDescent="0.2">
      <c r="A13" t="s">
        <v>340</v>
      </c>
      <c r="B13" t="s">
        <v>166</v>
      </c>
      <c r="C13" t="s">
        <v>166</v>
      </c>
      <c r="D13">
        <v>2003</v>
      </c>
      <c r="E13" t="s">
        <v>153</v>
      </c>
      <c r="F13" t="s">
        <v>341</v>
      </c>
      <c r="G13" t="s">
        <v>169</v>
      </c>
      <c r="H13" t="s">
        <v>156</v>
      </c>
      <c r="I13" t="s">
        <v>8</v>
      </c>
      <c r="L13" s="6">
        <v>2000</v>
      </c>
      <c r="M13" s="6">
        <f>COUNTIF($D$3:$D$608,2000)</f>
        <v>38</v>
      </c>
      <c r="W13" s="6" t="s">
        <v>1288</v>
      </c>
      <c r="X13" s="6">
        <f>COUNTIF($H$3:$H$608,"fre")</f>
        <v>78</v>
      </c>
      <c r="Y13" s="18">
        <f t="shared" si="0"/>
        <v>0.12871287128712872</v>
      </c>
      <c r="AF13" s="6" t="s">
        <v>164</v>
      </c>
      <c r="AG13" s="6">
        <f>COUNTIF($I$3:$I$608,"English poetry")</f>
        <v>12</v>
      </c>
      <c r="AH13" s="12" t="s">
        <v>1264</v>
      </c>
      <c r="AP13" s="6" t="s">
        <v>993</v>
      </c>
      <c r="AQ13" s="6">
        <f>COUNTIF($C$3:$C$608,"Den norske bokhandlerforening")</f>
        <v>1</v>
      </c>
      <c r="AR13" s="12" t="s">
        <v>1260</v>
      </c>
      <c r="AT13" s="6" t="s">
        <v>628</v>
      </c>
      <c r="AU13" s="6">
        <f>AQ34</f>
        <v>7</v>
      </c>
      <c r="AV13" s="18">
        <f t="shared" si="2"/>
        <v>1.155115511551155E-2</v>
      </c>
      <c r="BF13" s="6" t="s">
        <v>1288</v>
      </c>
      <c r="BG13" s="6">
        <f>COUNTIFS($C$3:$C$608,"Samlaget", $H$3:$H$608,"fre")</f>
        <v>30</v>
      </c>
      <c r="BH13" s="18">
        <f t="shared" si="3"/>
        <v>0.12552301255230125</v>
      </c>
      <c r="CE13" s="6" t="s">
        <v>1288</v>
      </c>
      <c r="CF13" s="6">
        <f>COUNTIFS($C$3:$C$608,"Det norske teatret", $H$3:$H$608,"fre")</f>
        <v>17</v>
      </c>
      <c r="CG13" s="18">
        <f t="shared" si="5"/>
        <v>0.21249999999999999</v>
      </c>
    </row>
    <row r="14" spans="1:85" x14ac:dyDescent="0.2">
      <c r="A14" t="s">
        <v>300</v>
      </c>
      <c r="B14" t="s">
        <v>4</v>
      </c>
      <c r="C14" t="s">
        <v>4</v>
      </c>
      <c r="D14">
        <v>2008</v>
      </c>
      <c r="E14" t="s">
        <v>192</v>
      </c>
      <c r="F14" t="s">
        <v>301</v>
      </c>
      <c r="G14" t="s">
        <v>302</v>
      </c>
      <c r="H14" t="s">
        <v>156</v>
      </c>
      <c r="I14" t="s">
        <v>195</v>
      </c>
      <c r="L14" s="5">
        <v>2001</v>
      </c>
      <c r="M14" s="5">
        <f>COUNTIF($D$3:$D$608,2001)</f>
        <v>29</v>
      </c>
      <c r="W14" s="5" t="s">
        <v>1289</v>
      </c>
      <c r="X14" s="5">
        <f>COUNTIF($H$3:$H$608,"ger")</f>
        <v>56</v>
      </c>
      <c r="Y14" s="17">
        <f t="shared" si="0"/>
        <v>9.2409240924092403E-2</v>
      </c>
      <c r="AF14" s="5" t="s">
        <v>520</v>
      </c>
      <c r="AG14" s="5">
        <f>COUNTIF($I$3:$I$608,"French fiction")</f>
        <v>28</v>
      </c>
      <c r="AH14" s="9" t="s">
        <v>1265</v>
      </c>
      <c r="AP14" s="5" t="s">
        <v>920</v>
      </c>
      <c r="AQ14" s="5">
        <f>COUNTIF($C$3:$C$608,"Den norske lyrikklubben")</f>
        <v>1</v>
      </c>
      <c r="AR14" s="9" t="s">
        <v>1260</v>
      </c>
      <c r="AT14" s="5" t="s">
        <v>181</v>
      </c>
      <c r="AU14" s="5">
        <f>AQ38</f>
        <v>8</v>
      </c>
      <c r="AV14" s="17">
        <f t="shared" si="2"/>
        <v>1.3201320132013201E-2</v>
      </c>
      <c r="BF14" s="5" t="s">
        <v>1289</v>
      </c>
      <c r="BG14" s="5">
        <f>COUNTIFS($C$3:$C$608,"Samlaget", $H$3:$H$608,"ger")</f>
        <v>21</v>
      </c>
      <c r="BH14" s="17">
        <f t="shared" si="3"/>
        <v>8.7866108786610872E-2</v>
      </c>
      <c r="CE14" s="5" t="s">
        <v>1289</v>
      </c>
      <c r="CF14" s="5">
        <f>COUNTIFS($C$3:$C$608,"Det norske teatret", $H$3:$H$608,"ger")</f>
        <v>6</v>
      </c>
      <c r="CG14" s="17">
        <f t="shared" si="5"/>
        <v>7.4999999999999997E-2</v>
      </c>
    </row>
    <row r="15" spans="1:85" x14ac:dyDescent="0.2">
      <c r="A15" t="s">
        <v>290</v>
      </c>
      <c r="B15" t="s">
        <v>4</v>
      </c>
      <c r="C15" t="s">
        <v>4</v>
      </c>
      <c r="D15">
        <v>2004</v>
      </c>
      <c r="E15" t="s">
        <v>172</v>
      </c>
      <c r="F15" t="s">
        <v>291</v>
      </c>
      <c r="G15" t="s">
        <v>292</v>
      </c>
      <c r="H15" t="s">
        <v>156</v>
      </c>
      <c r="I15" t="s">
        <v>174</v>
      </c>
      <c r="L15" s="6">
        <v>2002</v>
      </c>
      <c r="M15" s="6">
        <f>COUNTIF($D$3:$D$608,2002)</f>
        <v>41</v>
      </c>
      <c r="W15" s="6" t="s">
        <v>1290</v>
      </c>
      <c r="X15" s="6">
        <f>COUNTIF($H$3:$H$608,"grc")</f>
        <v>5</v>
      </c>
      <c r="Y15" s="18">
        <f t="shared" si="0"/>
        <v>8.2508250825082501E-3</v>
      </c>
      <c r="AF15" s="6" t="s">
        <v>610</v>
      </c>
      <c r="AG15" s="6">
        <f>COUNTIF($I$3:$I$608,"French miscellaneous writings")</f>
        <v>1</v>
      </c>
      <c r="AH15" s="14" t="s">
        <v>1264</v>
      </c>
      <c r="AP15" s="6" t="s">
        <v>62</v>
      </c>
      <c r="AQ15" s="6">
        <f>COUNTIF($C$3:$C$608,"Det norske teatret")</f>
        <v>80</v>
      </c>
      <c r="AR15" s="12" t="s">
        <v>62</v>
      </c>
      <c r="AT15" s="6" t="s">
        <v>215</v>
      </c>
      <c r="AU15" s="6">
        <f>AQ39</f>
        <v>9</v>
      </c>
      <c r="AV15" s="18">
        <f t="shared" si="2"/>
        <v>1.4851485148514851E-2</v>
      </c>
      <c r="BF15" s="6" t="s">
        <v>1290</v>
      </c>
      <c r="BG15" s="6">
        <f>COUNTIFS($C$3:$C$608,"Samlaget", $H$3:$H$608,"grc")</f>
        <v>2</v>
      </c>
      <c r="BH15" s="18">
        <f t="shared" si="3"/>
        <v>8.368200836820083E-3</v>
      </c>
      <c r="CE15" s="6" t="s">
        <v>1290</v>
      </c>
      <c r="CF15" s="6">
        <f>COUNTIFS($C$3:$C$608,"Det norske teatret", $H$3:$H$608,"grc")</f>
        <v>2</v>
      </c>
      <c r="CG15" s="18">
        <f t="shared" si="5"/>
        <v>2.5000000000000001E-2</v>
      </c>
    </row>
    <row r="16" spans="1:85" x14ac:dyDescent="0.2">
      <c r="A16" t="s">
        <v>290</v>
      </c>
      <c r="B16" t="s">
        <v>4</v>
      </c>
      <c r="C16" t="s">
        <v>4</v>
      </c>
      <c r="D16">
        <v>2005</v>
      </c>
      <c r="E16" t="s">
        <v>172</v>
      </c>
      <c r="F16" t="s">
        <v>291</v>
      </c>
      <c r="G16" t="s">
        <v>292</v>
      </c>
      <c r="H16" t="s">
        <v>156</v>
      </c>
      <c r="I16" t="s">
        <v>174</v>
      </c>
      <c r="L16" s="5">
        <v>2003</v>
      </c>
      <c r="M16" s="5">
        <f>COUNTIF($D$3:$D$608,2003)</f>
        <v>27</v>
      </c>
      <c r="W16" s="5" t="s">
        <v>1291</v>
      </c>
      <c r="X16" s="5">
        <f>COUNTIF($H$3:$H$608,"gre")</f>
        <v>1</v>
      </c>
      <c r="Y16" s="17">
        <f t="shared" si="0"/>
        <v>1.6501650165016502E-3</v>
      </c>
      <c r="AF16" s="5" t="s">
        <v>524</v>
      </c>
      <c r="AG16" s="5">
        <f>COUNTIF($I$3:$I$608,"French poetry")</f>
        <v>9</v>
      </c>
      <c r="AH16" s="9" t="s">
        <v>1264</v>
      </c>
      <c r="AP16" s="5" t="s">
        <v>480</v>
      </c>
      <c r="AQ16" s="5">
        <f>COUNTIF($C$3:$C$608,"Dreyer bok")</f>
        <v>4</v>
      </c>
      <c r="AR16" s="9" t="s">
        <v>1260</v>
      </c>
      <c r="AT16" s="5" t="s">
        <v>272</v>
      </c>
      <c r="AU16" s="5">
        <f>AQ45</f>
        <v>6</v>
      </c>
      <c r="AV16" s="17">
        <f t="shared" si="2"/>
        <v>9.9009900990099011E-3</v>
      </c>
      <c r="BF16" s="5" t="s">
        <v>1291</v>
      </c>
      <c r="BG16" s="5">
        <f>COUNTIFS($C$3:$C$608,"Samlaget", $H$3:$H$608,"gre")</f>
        <v>0</v>
      </c>
      <c r="BH16" s="17">
        <f t="shared" si="3"/>
        <v>0</v>
      </c>
      <c r="CE16" s="5" t="s">
        <v>1291</v>
      </c>
      <c r="CF16" s="5">
        <f>COUNTIFS($C$3:$C$608,"Det norske teatret", $H$3:$H$608,"gre")</f>
        <v>1</v>
      </c>
      <c r="CG16" s="17">
        <f t="shared" si="5"/>
        <v>1.2500000000000001E-2</v>
      </c>
    </row>
    <row r="17" spans="1:85" x14ac:dyDescent="0.2">
      <c r="A17" t="s">
        <v>290</v>
      </c>
      <c r="B17" t="s">
        <v>4</v>
      </c>
      <c r="C17" t="s">
        <v>4</v>
      </c>
      <c r="D17">
        <v>2008</v>
      </c>
      <c r="E17" t="s">
        <v>172</v>
      </c>
      <c r="F17" t="s">
        <v>291</v>
      </c>
      <c r="G17" t="s">
        <v>292</v>
      </c>
      <c r="H17" t="s">
        <v>156</v>
      </c>
      <c r="I17" t="s">
        <v>174</v>
      </c>
      <c r="L17" s="6">
        <v>2004</v>
      </c>
      <c r="M17" s="6">
        <f>COUNTIF($D$3:$D$608,2004)</f>
        <v>29</v>
      </c>
      <c r="W17" s="6" t="s">
        <v>1292</v>
      </c>
      <c r="X17" s="6">
        <f>COUNTIF($H$3:$H$608,"heb")</f>
        <v>1</v>
      </c>
      <c r="Y17" s="18">
        <f t="shared" si="0"/>
        <v>1.6501650165016502E-3</v>
      </c>
      <c r="AF17" s="6" t="s">
        <v>73</v>
      </c>
      <c r="AG17" s="6">
        <f>COUNTIF($I$3:$I$608,"German fiction")</f>
        <v>3</v>
      </c>
      <c r="AH17" s="12" t="s">
        <v>1265</v>
      </c>
      <c r="AP17" s="6" t="s">
        <v>551</v>
      </c>
      <c r="AQ17" s="6">
        <f>COUNTIF($C$3:$C$608,"Eide")</f>
        <v>1</v>
      </c>
      <c r="AR17" s="12" t="s">
        <v>1260</v>
      </c>
      <c r="AT17" s="6" t="s">
        <v>4</v>
      </c>
      <c r="AU17" s="6">
        <f>AQ46</f>
        <v>239</v>
      </c>
      <c r="AV17" s="18">
        <f t="shared" si="2"/>
        <v>0.39438943894389439</v>
      </c>
      <c r="BF17" s="6" t="s">
        <v>1292</v>
      </c>
      <c r="BG17" s="6">
        <f>COUNTIFS($C$3:$C$608,"Samlaget", $H$3:$H$608,"heb")</f>
        <v>0</v>
      </c>
      <c r="BH17" s="18">
        <f t="shared" si="3"/>
        <v>0</v>
      </c>
      <c r="CE17" s="6" t="s">
        <v>1292</v>
      </c>
      <c r="CF17" s="6">
        <f>COUNTIFS($C$3:$C$608,"Det norske teatret", $H$3:$H$608,"heb")</f>
        <v>0</v>
      </c>
      <c r="CG17" s="18">
        <f t="shared" si="5"/>
        <v>0</v>
      </c>
    </row>
    <row r="18" spans="1:85" x14ac:dyDescent="0.2">
      <c r="A18" t="s">
        <v>290</v>
      </c>
      <c r="B18" t="s">
        <v>4</v>
      </c>
      <c r="C18" t="s">
        <v>4</v>
      </c>
      <c r="D18">
        <v>2010</v>
      </c>
      <c r="E18" t="s">
        <v>172</v>
      </c>
      <c r="F18" t="s">
        <v>291</v>
      </c>
      <c r="G18" t="s">
        <v>292</v>
      </c>
      <c r="H18" t="s">
        <v>156</v>
      </c>
      <c r="I18" t="s">
        <v>174</v>
      </c>
      <c r="L18" s="5">
        <v>2005</v>
      </c>
      <c r="M18" s="5">
        <f>COUNTIF($D$3:$D$608,2005)</f>
        <v>32</v>
      </c>
      <c r="W18" s="5" t="s">
        <v>1293</v>
      </c>
      <c r="X18" s="5">
        <f>COUNTIF($H$3:$H$608,"hrv")</f>
        <v>3</v>
      </c>
      <c r="Y18" s="17">
        <f t="shared" si="0"/>
        <v>4.9504950495049506E-3</v>
      </c>
      <c r="AF18" s="5" t="s">
        <v>52</v>
      </c>
      <c r="AG18" s="5">
        <f>COUNTIF($I$3:$I$608,"German letters")</f>
        <v>1</v>
      </c>
      <c r="AH18" s="9" t="s">
        <v>1267</v>
      </c>
      <c r="AP18" s="5" t="s">
        <v>839</v>
      </c>
      <c r="AQ18" s="5">
        <f>COUNTIF($C$3:$C$608,"Eriksson &amp; Lindgren")</f>
        <v>1</v>
      </c>
      <c r="AR18" s="9" t="s">
        <v>1260</v>
      </c>
      <c r="AT18" s="5" t="s">
        <v>30</v>
      </c>
      <c r="AU18" s="5">
        <f>AQ48</f>
        <v>13</v>
      </c>
      <c r="AV18" s="17">
        <f t="shared" si="2"/>
        <v>2.1452145214521452E-2</v>
      </c>
      <c r="BF18" s="5" t="s">
        <v>1293</v>
      </c>
      <c r="BG18" s="5">
        <f>COUNTIFS($C$3:$C$608,"Samlaget", $H$3:$H$608,"hrv")</f>
        <v>0</v>
      </c>
      <c r="BH18" s="17">
        <f t="shared" si="3"/>
        <v>0</v>
      </c>
      <c r="CE18" s="5" t="s">
        <v>1293</v>
      </c>
      <c r="CF18" s="5">
        <f>COUNTIFS($C$3:$C$608,"Det norske teatret", $H$3:$H$608,"hrv")</f>
        <v>1</v>
      </c>
      <c r="CG18" s="17">
        <f t="shared" si="5"/>
        <v>1.2500000000000001E-2</v>
      </c>
    </row>
    <row r="19" spans="1:85" x14ac:dyDescent="0.2">
      <c r="A19" t="s">
        <v>908</v>
      </c>
      <c r="B19" t="s">
        <v>4</v>
      </c>
      <c r="C19" t="s">
        <v>4</v>
      </c>
      <c r="D19">
        <v>2007</v>
      </c>
      <c r="E19" t="s">
        <v>909</v>
      </c>
      <c r="F19" t="s">
        <v>910</v>
      </c>
      <c r="G19" t="s">
        <v>369</v>
      </c>
      <c r="H19" t="s">
        <v>907</v>
      </c>
      <c r="I19" t="s">
        <v>911</v>
      </c>
      <c r="L19" s="6">
        <v>2006</v>
      </c>
      <c r="M19" s="6">
        <f>COUNTIF($D$3:$D$608,2006)</f>
        <v>28</v>
      </c>
      <c r="W19" s="6" t="s">
        <v>1294</v>
      </c>
      <c r="X19" s="6">
        <f>COUNTIF($H$3:$H$608,"ice")</f>
        <v>5</v>
      </c>
      <c r="Y19" s="18">
        <f t="shared" si="0"/>
        <v>8.2508250825082501E-3</v>
      </c>
      <c r="AF19" s="6" t="s">
        <v>125</v>
      </c>
      <c r="AG19" s="6">
        <f>COUNTIF($I$3:$I$608,"German miscellaneous writings")</f>
        <v>1</v>
      </c>
      <c r="AH19" s="12" t="s">
        <v>1267</v>
      </c>
      <c r="AP19" s="6" t="s">
        <v>496</v>
      </c>
      <c r="AQ19" s="6">
        <f>COUNTIF($C$3:$C$608,"Erling Skjalgssonselskapet")</f>
        <v>2</v>
      </c>
      <c r="AR19" s="12" t="s">
        <v>1260</v>
      </c>
      <c r="AT19" s="6" t="s">
        <v>89</v>
      </c>
      <c r="AU19" s="6">
        <f>AQ51</f>
        <v>10</v>
      </c>
      <c r="AV19" s="18">
        <f t="shared" si="2"/>
        <v>1.65016501650165E-2</v>
      </c>
      <c r="BF19" s="6" t="s">
        <v>1294</v>
      </c>
      <c r="BG19" s="6">
        <f>COUNTIFS($C$3:$C$608,"Samlaget", $H$3:$H$608,"ice")</f>
        <v>0</v>
      </c>
      <c r="BH19" s="18">
        <f t="shared" si="3"/>
        <v>0</v>
      </c>
      <c r="CE19" s="6" t="s">
        <v>1294</v>
      </c>
      <c r="CF19" s="6">
        <f>COUNTIFS($C$3:$C$608,"Det norske teatret", $H$3:$H$608,"ice")</f>
        <v>1</v>
      </c>
      <c r="CG19" s="18">
        <f t="shared" si="5"/>
        <v>1.2500000000000001E-2</v>
      </c>
    </row>
    <row r="20" spans="1:85" x14ac:dyDescent="0.2">
      <c r="A20" t="s">
        <v>828</v>
      </c>
      <c r="B20" t="s">
        <v>94</v>
      </c>
      <c r="C20" t="s">
        <v>94</v>
      </c>
      <c r="D20">
        <v>1999</v>
      </c>
      <c r="E20" t="s">
        <v>641</v>
      </c>
      <c r="F20" t="s">
        <v>655</v>
      </c>
      <c r="G20" t="s">
        <v>696</v>
      </c>
      <c r="H20" t="s">
        <v>639</v>
      </c>
      <c r="I20" t="s">
        <v>8</v>
      </c>
      <c r="L20" s="5">
        <v>2007</v>
      </c>
      <c r="M20" s="5">
        <f>COUNTIF($D$3:$D$608,2007)</f>
        <v>39</v>
      </c>
      <c r="W20" s="5" t="s">
        <v>1295</v>
      </c>
      <c r="X20" s="5">
        <f>COUNTIF($H$3:$H$608,"ita")</f>
        <v>21</v>
      </c>
      <c r="Y20" s="17">
        <f t="shared" si="0"/>
        <v>3.4653465346534656E-2</v>
      </c>
      <c r="AF20" s="5" t="s">
        <v>23</v>
      </c>
      <c r="AG20" s="5">
        <f>COUNTIF($I$3:$I$608,"German poetry")</f>
        <v>6</v>
      </c>
      <c r="AH20" s="9" t="s">
        <v>1264</v>
      </c>
      <c r="AP20" s="5" t="s">
        <v>788</v>
      </c>
      <c r="AQ20" s="5">
        <f>COUNTIF($C$3:$C$608,"Flamme forl.")</f>
        <v>2</v>
      </c>
      <c r="AR20" s="9" t="s">
        <v>1260</v>
      </c>
      <c r="AT20" s="5" t="s">
        <v>69</v>
      </c>
      <c r="AU20" s="5">
        <f>AQ52</f>
        <v>14</v>
      </c>
      <c r="AV20" s="17">
        <f t="shared" si="2"/>
        <v>2.3102310231023101E-2</v>
      </c>
      <c r="BF20" s="5" t="s">
        <v>1295</v>
      </c>
      <c r="BG20" s="5">
        <f>COUNTIFS($C$3:$C$608,"Samlaget", $H$3:$H$608,"ita")</f>
        <v>7</v>
      </c>
      <c r="BH20" s="17">
        <f t="shared" si="3"/>
        <v>2.9288702928870293E-2</v>
      </c>
      <c r="CE20" s="5" t="s">
        <v>1295</v>
      </c>
      <c r="CF20" s="5">
        <f>COUNTIFS($C$3:$C$608,"Det norske teatret", $H$3:$H$608,"ita")</f>
        <v>2</v>
      </c>
      <c r="CG20" s="17">
        <f t="shared" si="5"/>
        <v>2.5000000000000001E-2</v>
      </c>
    </row>
    <row r="21" spans="1:85" x14ac:dyDescent="0.2">
      <c r="A21" t="s">
        <v>82</v>
      </c>
      <c r="B21" t="s">
        <v>69</v>
      </c>
      <c r="C21" t="s">
        <v>69</v>
      </c>
      <c r="D21">
        <v>1997</v>
      </c>
      <c r="E21" t="s">
        <v>20</v>
      </c>
      <c r="F21" t="s">
        <v>83</v>
      </c>
      <c r="G21" t="s">
        <v>41</v>
      </c>
      <c r="H21" t="s">
        <v>7</v>
      </c>
      <c r="I21" t="s">
        <v>23</v>
      </c>
      <c r="L21" s="6">
        <v>2008</v>
      </c>
      <c r="M21" s="6">
        <f>COUNTIF($D$3:$D$608,2008)</f>
        <v>40</v>
      </c>
      <c r="W21" s="6" t="s">
        <v>1296</v>
      </c>
      <c r="X21" s="6">
        <f>COUNTIF($H$3:$H$608,"jpn")</f>
        <v>1</v>
      </c>
      <c r="Y21" s="18">
        <f t="shared" si="0"/>
        <v>1.6501650165016502E-3</v>
      </c>
      <c r="AF21" s="6" t="s">
        <v>1013</v>
      </c>
      <c r="AG21" s="6">
        <f>COUNTIF($I$3:$I$608,"Italian fiction")</f>
        <v>4</v>
      </c>
      <c r="AH21" s="12" t="s">
        <v>1265</v>
      </c>
      <c r="AP21" s="6" t="s">
        <v>152</v>
      </c>
      <c r="AQ21" s="6">
        <f>COUNTIF($C$3:$C$608,"Gan Aschehoug")</f>
        <v>11</v>
      </c>
      <c r="AR21" s="12" t="s">
        <v>152</v>
      </c>
      <c r="AT21" s="6" t="s">
        <v>219</v>
      </c>
      <c r="AU21" s="6">
        <f>AQ56</f>
        <v>7</v>
      </c>
      <c r="AV21" s="18">
        <f t="shared" si="2"/>
        <v>1.155115511551155E-2</v>
      </c>
      <c r="BF21" s="6" t="s">
        <v>1296</v>
      </c>
      <c r="BG21" s="6">
        <f>COUNTIFS($C$3:$C$608,"Samlaget", $H$3:$H$608,"jpn")</f>
        <v>1</v>
      </c>
      <c r="BH21" s="18">
        <f t="shared" si="3"/>
        <v>4.1841004184100415E-3</v>
      </c>
      <c r="CE21" s="6" t="s">
        <v>1296</v>
      </c>
      <c r="CF21" s="6">
        <f>COUNTIFS($C$3:$C$608,"Det norske teatret", $H$3:$H$608,"jpn")</f>
        <v>0</v>
      </c>
      <c r="CG21" s="18">
        <f t="shared" si="5"/>
        <v>0</v>
      </c>
    </row>
    <row r="22" spans="1:85" x14ac:dyDescent="0.2">
      <c r="A22" t="s">
        <v>96</v>
      </c>
      <c r="B22" t="s">
        <v>62</v>
      </c>
      <c r="C22" t="s">
        <v>62</v>
      </c>
      <c r="D22">
        <v>2000</v>
      </c>
      <c r="E22" t="s">
        <v>35</v>
      </c>
      <c r="F22" t="s">
        <v>97</v>
      </c>
      <c r="G22" t="s">
        <v>46</v>
      </c>
      <c r="H22" t="s">
        <v>7</v>
      </c>
      <c r="I22" t="s">
        <v>38</v>
      </c>
      <c r="L22" s="5">
        <v>2009</v>
      </c>
      <c r="M22" s="5">
        <f>COUNTIF($D$3:$D$608,2009)</f>
        <v>29</v>
      </c>
      <c r="W22" s="5" t="s">
        <v>1297</v>
      </c>
      <c r="X22" s="5">
        <f>COUNTIF($H$3:$H$608,"lat")</f>
        <v>3</v>
      </c>
      <c r="Y22" s="17">
        <f t="shared" si="0"/>
        <v>4.9504950495049506E-3</v>
      </c>
      <c r="AF22" s="5" t="s">
        <v>1018</v>
      </c>
      <c r="AG22" s="5">
        <f>COUNTIF($I$3:$I$608,"Italian poetry")</f>
        <v>9</v>
      </c>
      <c r="AH22" s="9" t="s">
        <v>1264</v>
      </c>
      <c r="AP22" s="5" t="s">
        <v>231</v>
      </c>
      <c r="AQ22" s="5">
        <f>COUNTIF($C$3:$C$608,"Gyldendal")</f>
        <v>26</v>
      </c>
      <c r="AR22" s="9" t="s">
        <v>231</v>
      </c>
      <c r="AT22" s="5" t="s">
        <v>176</v>
      </c>
      <c r="AU22" s="5">
        <f>AQ57</f>
        <v>6</v>
      </c>
      <c r="AV22" s="17">
        <f t="shared" si="2"/>
        <v>9.9009900990099011E-3</v>
      </c>
      <c r="BF22" s="5" t="s">
        <v>1297</v>
      </c>
      <c r="BG22" s="5">
        <f>COUNTIFS($C$3:$C$608,"Samlaget", $H$3:$H$608,"lat")</f>
        <v>3</v>
      </c>
      <c r="BH22" s="17">
        <f t="shared" si="3"/>
        <v>1.2552301255230125E-2</v>
      </c>
      <c r="CE22" s="5" t="s">
        <v>1297</v>
      </c>
      <c r="CF22" s="5">
        <f>COUNTIFS($C$3:$C$608,"Det norske teatret", $H$3:$H$608,"lat")</f>
        <v>0</v>
      </c>
      <c r="CG22" s="17">
        <f t="shared" si="5"/>
        <v>0</v>
      </c>
    </row>
    <row r="23" spans="1:85" x14ac:dyDescent="0.2">
      <c r="A23" t="s">
        <v>1120</v>
      </c>
      <c r="B23" t="s">
        <v>62</v>
      </c>
      <c r="C23" t="s">
        <v>62</v>
      </c>
      <c r="D23">
        <v>2001</v>
      </c>
      <c r="E23" t="s">
        <v>220</v>
      </c>
      <c r="F23" t="s">
        <v>1121</v>
      </c>
      <c r="G23" t="s">
        <v>259</v>
      </c>
      <c r="H23" t="s">
        <v>1103</v>
      </c>
      <c r="I23" t="s">
        <v>38</v>
      </c>
      <c r="L23" s="6">
        <v>2010</v>
      </c>
      <c r="M23" s="6">
        <f>COUNTIF($D$3:$D$608,2010)</f>
        <v>27</v>
      </c>
      <c r="W23" s="6" t="s">
        <v>1298</v>
      </c>
      <c r="X23" s="6">
        <f>COUNTIF($H$3:$H$608,"mac")</f>
        <v>1</v>
      </c>
      <c r="Y23" s="18">
        <f t="shared" si="0"/>
        <v>1.6501650165016502E-3</v>
      </c>
      <c r="AF23" s="6" t="s">
        <v>892</v>
      </c>
      <c r="AG23" s="6">
        <f>COUNTIF($I$3:$I$608,"Latin poetry")</f>
        <v>3</v>
      </c>
      <c r="AH23" s="12" t="s">
        <v>1264</v>
      </c>
      <c r="AP23" s="6" t="s">
        <v>510</v>
      </c>
      <c r="AQ23" s="6">
        <f>COUNTIF($C$3:$C$608,"Harald Rongevær forl.")</f>
        <v>1</v>
      </c>
      <c r="AR23" s="12" t="s">
        <v>1260</v>
      </c>
      <c r="AT23" s="6" t="s">
        <v>1260</v>
      </c>
      <c r="AU23" s="6">
        <f>AQ3+AQ5+AQ6+AQ10+AQ11+AQ13+AQ14+AQ16+AQ17+AQ18+AQ19+AQ20+AQ23+AQ24+AQ25+AQ27+AQ28+AQ29+AQ30+AQ31+AQ32+AQ35+AQ36+AQ37+AQ40+AQ41+AQ42+AQ43+AQ44+AQ47+AQ49+AQ50+AQ53+AQ54+AQ55+AQ58+AQ59+AQ60+AQ61+AQ62+AQ63+AQ64</f>
        <v>79</v>
      </c>
      <c r="AV23" s="18">
        <f t="shared" si="2"/>
        <v>0.13036303630363036</v>
      </c>
      <c r="BF23" s="6" t="s">
        <v>1298</v>
      </c>
      <c r="BG23" s="6">
        <f>COUNTIFS($C$3:$C$608,"Samlaget", $H$3:$H$608,"mac")</f>
        <v>0</v>
      </c>
      <c r="BH23" s="18">
        <f t="shared" si="3"/>
        <v>0</v>
      </c>
      <c r="CE23" s="6" t="s">
        <v>1298</v>
      </c>
      <c r="CF23" s="6">
        <f>COUNTIFS($C$3:$C$608,"Det norske teatret", $H$3:$H$608,"mac")</f>
        <v>0</v>
      </c>
      <c r="CG23" s="18">
        <f t="shared" si="5"/>
        <v>0</v>
      </c>
    </row>
    <row r="24" spans="1:85" x14ac:dyDescent="0.2">
      <c r="A24" t="s">
        <v>1140</v>
      </c>
      <c r="B24" t="s">
        <v>62</v>
      </c>
      <c r="C24" t="s">
        <v>62</v>
      </c>
      <c r="D24">
        <v>1991</v>
      </c>
      <c r="E24" t="s">
        <v>1138</v>
      </c>
      <c r="F24" t="s">
        <v>1141</v>
      </c>
      <c r="G24" t="s">
        <v>54</v>
      </c>
      <c r="H24" t="s">
        <v>1217</v>
      </c>
      <c r="I24" t="s">
        <v>38</v>
      </c>
      <c r="L24" s="4" t="s">
        <v>1277</v>
      </c>
      <c r="M24" s="4">
        <f>SUM(M3:M23)</f>
        <v>603</v>
      </c>
      <c r="W24" s="5" t="s">
        <v>1313</v>
      </c>
      <c r="X24" s="5">
        <f>COUNTIF($H$3:$H$608,"mul")</f>
        <v>8</v>
      </c>
      <c r="Y24" s="17">
        <f t="shared" si="0"/>
        <v>1.3201320132013201E-2</v>
      </c>
      <c r="AF24" s="5" t="s">
        <v>1057</v>
      </c>
      <c r="AG24" s="5">
        <f>COUNTIF($I$3:$I$608,"Literatures of East &amp; Southeast Asia")</f>
        <v>1</v>
      </c>
      <c r="AH24" s="9" t="s">
        <v>38</v>
      </c>
      <c r="AP24" s="5" t="s">
        <v>1073</v>
      </c>
      <c r="AQ24" s="5">
        <f>COUNTIF($C$3:$C$608,"Heinesen")</f>
        <v>1</v>
      </c>
      <c r="AR24" s="9" t="s">
        <v>1260</v>
      </c>
      <c r="AT24" s="4" t="s">
        <v>1310</v>
      </c>
      <c r="AU24" s="4">
        <f>SUM(AU3:AU23)</f>
        <v>606</v>
      </c>
      <c r="AV24" s="20">
        <f>SUM(AV3:AV23)</f>
        <v>0.99999999999999989</v>
      </c>
      <c r="BF24" s="5" t="s">
        <v>1313</v>
      </c>
      <c r="BG24" s="5">
        <f>COUNTIFS($C$3:$C$608,"Samlaget", $H$3:$H$608,"mul")</f>
        <v>6</v>
      </c>
      <c r="BH24" s="17">
        <f t="shared" si="3"/>
        <v>2.5104602510460251E-2</v>
      </c>
      <c r="CE24" s="5" t="s">
        <v>1313</v>
      </c>
      <c r="CF24" s="5">
        <f>COUNTIFS($C$3:$C$608,"Det norske teatret", $H$3:$H$608,"mul")</f>
        <v>0</v>
      </c>
      <c r="CG24" s="17">
        <f t="shared" si="5"/>
        <v>0</v>
      </c>
    </row>
    <row r="25" spans="1:85" x14ac:dyDescent="0.2">
      <c r="A25" t="s">
        <v>1140</v>
      </c>
      <c r="B25" t="s">
        <v>130</v>
      </c>
      <c r="C25" t="s">
        <v>34</v>
      </c>
      <c r="D25">
        <v>1996</v>
      </c>
      <c r="E25" t="s">
        <v>1138</v>
      </c>
      <c r="F25" t="s">
        <v>1141</v>
      </c>
      <c r="G25" t="s">
        <v>1257</v>
      </c>
      <c r="H25" t="s">
        <v>1135</v>
      </c>
      <c r="I25" t="s">
        <v>38</v>
      </c>
      <c r="W25" s="6" t="s">
        <v>1299</v>
      </c>
      <c r="X25" s="6">
        <f>COUNTIF($H$3:$H$608,"nob")</f>
        <v>11</v>
      </c>
      <c r="Y25" s="18">
        <f t="shared" si="0"/>
        <v>1.8151815181518153E-2</v>
      </c>
      <c r="AF25" s="6" t="s">
        <v>1259</v>
      </c>
      <c r="AG25" s="6">
        <f>COUNTIF($I$3:$I$608,"Occitan &amp; Catalan literatures")</f>
        <v>1</v>
      </c>
      <c r="AH25" s="12" t="s">
        <v>38</v>
      </c>
      <c r="AP25" s="6" t="s">
        <v>667</v>
      </c>
      <c r="AQ25" s="6">
        <f>COUNTIF($C$3:$C$608,"Hordaland teater")</f>
        <v>3</v>
      </c>
      <c r="AR25" s="12" t="s">
        <v>1260</v>
      </c>
      <c r="BF25" s="6" t="s">
        <v>1299</v>
      </c>
      <c r="BG25" s="6">
        <f>COUNTIFS($C$3:$C$608,"Samlaget", $H$3:$H$608,"nob")</f>
        <v>1</v>
      </c>
      <c r="BH25" s="18">
        <f t="shared" si="3"/>
        <v>4.1841004184100415E-3</v>
      </c>
      <c r="CE25" s="6" t="s">
        <v>1299</v>
      </c>
      <c r="CF25" s="6">
        <f>COUNTIFS($C$3:$C$608,"Det norske teatret", $H$3:$H$608,"nob")</f>
        <v>2</v>
      </c>
      <c r="CG25" s="18">
        <f t="shared" si="5"/>
        <v>2.5000000000000001E-2</v>
      </c>
    </row>
    <row r="26" spans="1:85" x14ac:dyDescent="0.2">
      <c r="A26" t="s">
        <v>707</v>
      </c>
      <c r="B26" t="s">
        <v>10</v>
      </c>
      <c r="C26" t="s">
        <v>11</v>
      </c>
      <c r="D26">
        <v>2007</v>
      </c>
      <c r="E26" t="s">
        <v>641</v>
      </c>
      <c r="F26" t="s">
        <v>708</v>
      </c>
      <c r="G26" t="s">
        <v>709</v>
      </c>
      <c r="H26" t="s">
        <v>639</v>
      </c>
      <c r="I26" t="s">
        <v>8</v>
      </c>
      <c r="W26" s="5" t="s">
        <v>1300</v>
      </c>
      <c r="X26" s="5">
        <f>COUNTIF($H$3:$H$608,"non")</f>
        <v>35</v>
      </c>
      <c r="Y26" s="17">
        <f t="shared" si="0"/>
        <v>5.7755775577557754E-2</v>
      </c>
      <c r="AF26" s="5" t="s">
        <v>463</v>
      </c>
      <c r="AG26" s="5">
        <f>COUNTIF($I$3:$I$608,"Other Germanic literatures")</f>
        <v>86</v>
      </c>
      <c r="AH26" s="10" t="s">
        <v>1311</v>
      </c>
      <c r="AP26" s="5" t="s">
        <v>34</v>
      </c>
      <c r="AQ26" s="5">
        <f>COUNTIF($C$3:$C$608,"Hålogaland teater")</f>
        <v>11</v>
      </c>
      <c r="AR26" s="9" t="s">
        <v>34</v>
      </c>
      <c r="BF26" s="5" t="s">
        <v>1300</v>
      </c>
      <c r="BG26" s="5">
        <f>COUNTIFS($C$3:$C$608,"Samlaget", $H$3:$H$608,"non")</f>
        <v>20</v>
      </c>
      <c r="BH26" s="17">
        <f t="shared" si="3"/>
        <v>8.3682008368200833E-2</v>
      </c>
      <c r="CE26" s="5" t="s">
        <v>1300</v>
      </c>
      <c r="CF26" s="5">
        <f>COUNTIFS($C$3:$C$608,"Det norske teatret", $H$3:$H$608,"non")</f>
        <v>0</v>
      </c>
      <c r="CG26" s="17">
        <f t="shared" si="5"/>
        <v>0</v>
      </c>
    </row>
    <row r="27" spans="1:85" x14ac:dyDescent="0.2">
      <c r="A27" t="s">
        <v>735</v>
      </c>
      <c r="B27" t="s">
        <v>420</v>
      </c>
      <c r="C27" t="s">
        <v>181</v>
      </c>
      <c r="D27">
        <v>1996</v>
      </c>
      <c r="E27" t="s">
        <v>637</v>
      </c>
      <c r="F27" t="s">
        <v>736</v>
      </c>
      <c r="G27" t="s">
        <v>1257</v>
      </c>
      <c r="H27" t="s">
        <v>639</v>
      </c>
      <c r="I27" t="s">
        <v>463</v>
      </c>
      <c r="W27" s="6" t="s">
        <v>1301</v>
      </c>
      <c r="X27" s="6">
        <f>COUNTIF($H$3:$H$608,"per")</f>
        <v>3</v>
      </c>
      <c r="Y27" s="18">
        <f t="shared" si="0"/>
        <v>4.9504950495049506E-3</v>
      </c>
      <c r="AF27" s="6" t="s">
        <v>1000</v>
      </c>
      <c r="AG27" s="6">
        <f>COUNTIF($I$3:$I$608,"Portuguese literature")</f>
        <v>2</v>
      </c>
      <c r="AH27" s="12" t="s">
        <v>1264</v>
      </c>
      <c r="AP27" s="6" t="s">
        <v>11</v>
      </c>
      <c r="AQ27" s="6">
        <f>COUNTIF($C$3:$C$608,"IKO")</f>
        <v>5</v>
      </c>
      <c r="AR27" s="12" t="s">
        <v>1260</v>
      </c>
      <c r="BF27" s="6" t="s">
        <v>1301</v>
      </c>
      <c r="BG27" s="6">
        <f>COUNTIFS($C$3:$C$608,"Samlaget", $H$3:$H$608,"per")</f>
        <v>1</v>
      </c>
      <c r="BH27" s="18">
        <f t="shared" si="3"/>
        <v>4.1841004184100415E-3</v>
      </c>
      <c r="CE27" s="6" t="s">
        <v>1301</v>
      </c>
      <c r="CF27" s="6">
        <f>COUNTIFS($C$3:$C$608,"Det norske teatret", $H$3:$H$608,"per")</f>
        <v>0</v>
      </c>
      <c r="CG27" s="18">
        <f t="shared" si="5"/>
        <v>0</v>
      </c>
    </row>
    <row r="28" spans="1:85" x14ac:dyDescent="0.2">
      <c r="A28" t="s">
        <v>925</v>
      </c>
      <c r="B28" t="s">
        <v>4</v>
      </c>
      <c r="C28" t="s">
        <v>4</v>
      </c>
      <c r="D28">
        <v>1998</v>
      </c>
      <c r="E28" t="s">
        <v>926</v>
      </c>
      <c r="F28" t="s">
        <v>906</v>
      </c>
      <c r="G28" t="s">
        <v>369</v>
      </c>
      <c r="H28" t="s">
        <v>907</v>
      </c>
      <c r="I28" t="s">
        <v>8</v>
      </c>
      <c r="W28" s="5" t="s">
        <v>1302</v>
      </c>
      <c r="X28" s="5">
        <f>COUNTIF($H$3:$H$608,"pol")</f>
        <v>1</v>
      </c>
      <c r="Y28" s="17">
        <f t="shared" si="0"/>
        <v>1.6501650165016502E-3</v>
      </c>
      <c r="AF28" s="5" t="s">
        <v>380</v>
      </c>
      <c r="AG28" s="5">
        <f>COUNTIF($I$3:$I$608,"Rhetoric &amp; collections of literature")</f>
        <v>4</v>
      </c>
      <c r="AH28" s="9" t="s">
        <v>1264</v>
      </c>
      <c r="AP28" s="5" t="s">
        <v>1082</v>
      </c>
      <c r="AQ28" s="5">
        <f>COUNTIF($C$3:$C$608,"Kapabel")</f>
        <v>1</v>
      </c>
      <c r="AR28" s="9" t="s">
        <v>1260</v>
      </c>
      <c r="BF28" s="5" t="s">
        <v>1302</v>
      </c>
      <c r="BG28" s="5">
        <f>COUNTIFS($C$3:$C$608,"Samlaget", $H$3:$H$608,"pol")</f>
        <v>0</v>
      </c>
      <c r="BH28" s="17">
        <f t="shared" si="3"/>
        <v>0</v>
      </c>
      <c r="CE28" s="5" t="s">
        <v>1302</v>
      </c>
      <c r="CF28" s="5">
        <f>COUNTIFS($C$3:$C$608,"Det norske teatret", $H$3:$H$608,"pol")</f>
        <v>1</v>
      </c>
      <c r="CG28" s="17">
        <f t="shared" si="5"/>
        <v>1.2500000000000001E-2</v>
      </c>
    </row>
    <row r="29" spans="1:85" x14ac:dyDescent="0.2">
      <c r="A29" t="s">
        <v>1087</v>
      </c>
      <c r="B29" t="s">
        <v>1088</v>
      </c>
      <c r="C29" t="s">
        <v>1088</v>
      </c>
      <c r="D29">
        <v>1994</v>
      </c>
      <c r="E29" t="s">
        <v>1089</v>
      </c>
      <c r="F29" t="s">
        <v>1090</v>
      </c>
      <c r="G29" t="s">
        <v>1091</v>
      </c>
      <c r="H29" t="s">
        <v>1092</v>
      </c>
      <c r="I29" t="s">
        <v>1093</v>
      </c>
      <c r="W29" s="6" t="s">
        <v>1303</v>
      </c>
      <c r="X29" s="6">
        <f>COUNTIF($H$3:$H$608,"por")</f>
        <v>2</v>
      </c>
      <c r="Y29" s="18">
        <f t="shared" si="0"/>
        <v>3.3003300330033004E-3</v>
      </c>
      <c r="AF29" s="6" t="s">
        <v>924</v>
      </c>
      <c r="AG29" s="6">
        <f>COUNTIF($I$3:$I$608,"Spanish fiction")</f>
        <v>1</v>
      </c>
      <c r="AH29" s="12" t="s">
        <v>1265</v>
      </c>
      <c r="AP29" s="6" t="s">
        <v>874</v>
      </c>
      <c r="AQ29" s="6">
        <f>COUNTIF($C$3:$C$608,"Karviland forl.")</f>
        <v>1</v>
      </c>
      <c r="AR29" s="12" t="s">
        <v>1260</v>
      </c>
      <c r="BF29" s="6" t="s">
        <v>1303</v>
      </c>
      <c r="BG29" s="6">
        <f>COUNTIFS($C$3:$C$608,"Samlaget", $H$3:$H$608,"por")</f>
        <v>0</v>
      </c>
      <c r="BH29" s="18">
        <f t="shared" si="3"/>
        <v>0</v>
      </c>
      <c r="CE29" s="6" t="s">
        <v>1303</v>
      </c>
      <c r="CF29" s="6">
        <f>COUNTIFS($C$3:$C$608,"Det norske teatret", $H$3:$H$608,"por")</f>
        <v>0</v>
      </c>
      <c r="CG29" s="18">
        <f t="shared" si="5"/>
        <v>0</v>
      </c>
    </row>
    <row r="30" spans="1:85" x14ac:dyDescent="0.2">
      <c r="A30" t="s">
        <v>782</v>
      </c>
      <c r="B30" t="s">
        <v>94</v>
      </c>
      <c r="C30" t="s">
        <v>94</v>
      </c>
      <c r="D30">
        <v>1998</v>
      </c>
      <c r="E30" t="s">
        <v>641</v>
      </c>
      <c r="F30" t="s">
        <v>714</v>
      </c>
      <c r="G30" t="s">
        <v>783</v>
      </c>
      <c r="H30" t="s">
        <v>639</v>
      </c>
      <c r="I30" t="s">
        <v>8</v>
      </c>
      <c r="W30" s="5" t="s">
        <v>1304</v>
      </c>
      <c r="X30" s="5">
        <f>COUNTIF($H$3:$H$608,"rus")</f>
        <v>12</v>
      </c>
      <c r="Y30" s="17">
        <f t="shared" si="0"/>
        <v>1.9801980198019802E-2</v>
      </c>
      <c r="AF30" s="5" t="s">
        <v>911</v>
      </c>
      <c r="AG30" s="5">
        <f>COUNTIF($I$3:$I$608,"Spanish poetry")</f>
        <v>6</v>
      </c>
      <c r="AH30" s="9" t="s">
        <v>1264</v>
      </c>
      <c r="AP30" s="5" t="s">
        <v>1179</v>
      </c>
      <c r="AQ30" s="5">
        <f>COUNTIF($C$3:$C$608,"Katakombe forl.")</f>
        <v>1</v>
      </c>
      <c r="AR30" s="9" t="s">
        <v>1260</v>
      </c>
      <c r="BF30" s="5" t="s">
        <v>1304</v>
      </c>
      <c r="BG30" s="5">
        <f>COUNTIFS($C$3:$C$608,"Samlaget", $H$3:$H$608,"rus")</f>
        <v>1</v>
      </c>
      <c r="BH30" s="17">
        <f t="shared" si="3"/>
        <v>4.1841004184100415E-3</v>
      </c>
      <c r="CE30" s="5" t="s">
        <v>1304</v>
      </c>
      <c r="CF30" s="5">
        <f>COUNTIFS($C$3:$C$608,"Det norske teatret", $H$3:$H$608,"rus")</f>
        <v>6</v>
      </c>
      <c r="CG30" s="17">
        <f t="shared" si="5"/>
        <v>7.4999999999999997E-2</v>
      </c>
    </row>
    <row r="31" spans="1:85" x14ac:dyDescent="0.2">
      <c r="A31" t="s">
        <v>855</v>
      </c>
      <c r="B31" t="s">
        <v>62</v>
      </c>
      <c r="C31" t="s">
        <v>62</v>
      </c>
      <c r="D31">
        <v>1996</v>
      </c>
      <c r="E31" t="s">
        <v>856</v>
      </c>
      <c r="F31" t="s">
        <v>1236</v>
      </c>
      <c r="G31" t="s">
        <v>54</v>
      </c>
      <c r="H31" t="s">
        <v>853</v>
      </c>
      <c r="I31" t="s">
        <v>463</v>
      </c>
      <c r="W31" s="6" t="s">
        <v>1305</v>
      </c>
      <c r="X31" s="6">
        <f>COUNTIF($H$3:$H$608,"slo")</f>
        <v>1</v>
      </c>
      <c r="Y31" s="18">
        <f t="shared" si="0"/>
        <v>1.6501650165016502E-3</v>
      </c>
      <c r="AF31" s="4" t="s">
        <v>1277</v>
      </c>
      <c r="AG31" s="4">
        <f>SUM(AG3:AG30)</f>
        <v>606</v>
      </c>
      <c r="AH31" s="9"/>
      <c r="AP31" s="6" t="s">
        <v>56</v>
      </c>
      <c r="AQ31" s="6">
        <f>COUNTIF($C$3:$C$608,"Kolon")</f>
        <v>1</v>
      </c>
      <c r="AR31" s="12" t="s">
        <v>1260</v>
      </c>
      <c r="BF31" s="6" t="s">
        <v>1305</v>
      </c>
      <c r="BG31" s="6">
        <f>COUNTIFS($C$3:$C$608,"Samlaget", $H$3:$H$608,"slo")</f>
        <v>0</v>
      </c>
      <c r="BH31" s="18">
        <f t="shared" si="3"/>
        <v>0</v>
      </c>
      <c r="CE31" s="6" t="s">
        <v>1305</v>
      </c>
      <c r="CF31" s="6">
        <f>COUNTIFS($C$3:$C$608,"Det norske teatret", $H$3:$H$608,"slo")</f>
        <v>0</v>
      </c>
      <c r="CG31" s="18">
        <f t="shared" si="5"/>
        <v>0</v>
      </c>
    </row>
    <row r="32" spans="1:85" x14ac:dyDescent="0.2">
      <c r="A32" t="s">
        <v>1097</v>
      </c>
      <c r="B32" t="s">
        <v>69</v>
      </c>
      <c r="C32" t="s">
        <v>69</v>
      </c>
      <c r="D32">
        <v>1994</v>
      </c>
      <c r="E32" t="s">
        <v>1098</v>
      </c>
      <c r="F32" t="s">
        <v>1099</v>
      </c>
      <c r="G32" t="s">
        <v>243</v>
      </c>
      <c r="H32" t="s">
        <v>1100</v>
      </c>
      <c r="I32" t="s">
        <v>452</v>
      </c>
      <c r="W32" s="5" t="s">
        <v>1306</v>
      </c>
      <c r="X32" s="5">
        <f>COUNTIF($H$3:$H$608,"sme")</f>
        <v>1</v>
      </c>
      <c r="Y32" s="17">
        <f t="shared" si="0"/>
        <v>1.6501650165016502E-3</v>
      </c>
      <c r="AP32" s="5" t="s">
        <v>25</v>
      </c>
      <c r="AQ32" s="5">
        <f>COUNTIF($C$3:$C$608,"Landbruksforl.")</f>
        <v>3</v>
      </c>
      <c r="AR32" s="9" t="s">
        <v>1260</v>
      </c>
      <c r="BF32" s="5" t="s">
        <v>1306</v>
      </c>
      <c r="BG32" s="5">
        <f>COUNTIFS($C$3:$C$608,"Samlaget", $H$3:$H$608,"sme")</f>
        <v>0</v>
      </c>
      <c r="BH32" s="17">
        <f t="shared" si="3"/>
        <v>0</v>
      </c>
      <c r="CE32" s="5" t="s">
        <v>1306</v>
      </c>
      <c r="CF32" s="5">
        <f>COUNTIFS($C$3:$C$608,"Det norske teatret", $H$3:$H$608,"sme")</f>
        <v>0</v>
      </c>
      <c r="CG32" s="17">
        <f t="shared" si="5"/>
        <v>0</v>
      </c>
    </row>
    <row r="33" spans="1:89" x14ac:dyDescent="0.2">
      <c r="A33" t="s">
        <v>862</v>
      </c>
      <c r="B33" t="s">
        <v>62</v>
      </c>
      <c r="C33" t="s">
        <v>62</v>
      </c>
      <c r="D33">
        <v>1992</v>
      </c>
      <c r="E33" t="s">
        <v>258</v>
      </c>
      <c r="F33" t="s">
        <v>1243</v>
      </c>
      <c r="G33" t="s">
        <v>399</v>
      </c>
      <c r="H33" t="s">
        <v>853</v>
      </c>
      <c r="I33" t="s">
        <v>8</v>
      </c>
      <c r="W33" s="6" t="s">
        <v>1307</v>
      </c>
      <c r="X33" s="6">
        <f>COUNTIF($H$3:$H$608,"spa")</f>
        <v>14</v>
      </c>
      <c r="Y33" s="18">
        <f t="shared" si="0"/>
        <v>2.3102310231023101E-2</v>
      </c>
      <c r="AP33" s="6" t="s">
        <v>117</v>
      </c>
      <c r="AQ33" s="6">
        <f>COUNTIF($C$3:$C$608,"Lydbokforl.")</f>
        <v>14</v>
      </c>
      <c r="AR33" s="12" t="s">
        <v>117</v>
      </c>
      <c r="BF33" s="6" t="s">
        <v>1307</v>
      </c>
      <c r="BG33" s="6">
        <f>COUNTIFS($C$3:$C$608,"Samlaget", $H$3:$H$608,"spa")</f>
        <v>6</v>
      </c>
      <c r="BH33" s="18">
        <f t="shared" si="3"/>
        <v>2.5104602510460251E-2</v>
      </c>
      <c r="CE33" s="6" t="s">
        <v>1307</v>
      </c>
      <c r="CF33" s="6">
        <f>COUNTIFS($C$3:$C$608,"Det norske teatret", $H$3:$H$608,"spa")</f>
        <v>3</v>
      </c>
      <c r="CG33" s="18">
        <f t="shared" si="5"/>
        <v>3.7499999999999999E-2</v>
      </c>
    </row>
    <row r="34" spans="1:89" x14ac:dyDescent="0.2">
      <c r="A34" t="s">
        <v>205</v>
      </c>
      <c r="B34" t="s">
        <v>4</v>
      </c>
      <c r="C34" t="s">
        <v>4</v>
      </c>
      <c r="D34">
        <v>2001</v>
      </c>
      <c r="E34" t="s">
        <v>172</v>
      </c>
      <c r="F34" t="s">
        <v>206</v>
      </c>
      <c r="G34" t="s">
        <v>207</v>
      </c>
      <c r="H34" t="s">
        <v>156</v>
      </c>
      <c r="I34" t="s">
        <v>174</v>
      </c>
      <c r="W34" s="5" t="s">
        <v>1308</v>
      </c>
      <c r="X34" s="5">
        <f>COUNTIF($H$3:$H$608,"srp")</f>
        <v>2</v>
      </c>
      <c r="Y34" s="17">
        <f t="shared" si="0"/>
        <v>3.3003300330033004E-3</v>
      </c>
      <c r="AP34" s="5" t="s">
        <v>628</v>
      </c>
      <c r="AQ34" s="5">
        <f>COUNTIF($C$3:$C$608,"Mangschou")</f>
        <v>7</v>
      </c>
      <c r="AR34" s="9" t="s">
        <v>628</v>
      </c>
      <c r="BF34" s="5" t="s">
        <v>1308</v>
      </c>
      <c r="BG34" s="5">
        <f>COUNTIFS($C$3:$C$608,"Samlaget", $H$3:$H$608,"srp")</f>
        <v>0</v>
      </c>
      <c r="BH34" s="17">
        <f t="shared" si="3"/>
        <v>0</v>
      </c>
      <c r="CE34" s="5" t="s">
        <v>1308</v>
      </c>
      <c r="CF34" s="5">
        <f>COUNTIFS($C$3:$C$608,"Det norske teatret", $H$3:$H$608,"srp")</f>
        <v>1</v>
      </c>
      <c r="CG34" s="17">
        <f t="shared" si="5"/>
        <v>1.2500000000000001E-2</v>
      </c>
    </row>
    <row r="35" spans="1:89" x14ac:dyDescent="0.2">
      <c r="A35" t="s">
        <v>323</v>
      </c>
      <c r="B35" t="s">
        <v>324</v>
      </c>
      <c r="C35" t="s">
        <v>324</v>
      </c>
      <c r="D35">
        <v>2006</v>
      </c>
      <c r="E35" t="s">
        <v>153</v>
      </c>
      <c r="F35" t="s">
        <v>325</v>
      </c>
      <c r="G35" t="s">
        <v>173</v>
      </c>
      <c r="H35" t="s">
        <v>156</v>
      </c>
      <c r="I35" t="s">
        <v>8</v>
      </c>
      <c r="W35" s="6" t="s">
        <v>1309</v>
      </c>
      <c r="X35" s="6">
        <f>COUNTIF($H$3:$H$608,"swe")</f>
        <v>115</v>
      </c>
      <c r="Y35" s="18">
        <f t="shared" si="0"/>
        <v>0.18976897689768976</v>
      </c>
      <c r="AP35" s="6" t="s">
        <v>261</v>
      </c>
      <c r="AQ35" s="6">
        <f>COUNTIF($C$3:$C$608,"Nordsjøforl.")</f>
        <v>4</v>
      </c>
      <c r="AR35" s="12" t="s">
        <v>1260</v>
      </c>
      <c r="BF35" s="6" t="s">
        <v>1309</v>
      </c>
      <c r="BG35" s="6">
        <f>COUNTIFS($C$3:$C$608,"Samlaget", $H$3:$H$608,"swe")</f>
        <v>57</v>
      </c>
      <c r="BH35" s="18">
        <f t="shared" si="3"/>
        <v>0.2384937238493724</v>
      </c>
      <c r="CE35" s="6" t="s">
        <v>1309</v>
      </c>
      <c r="CF35" s="6">
        <f>COUNTIFS($C$3:$C$608,"Det norske teatret", $H$3:$H$608,"swe")</f>
        <v>18</v>
      </c>
      <c r="CG35" s="18">
        <f t="shared" si="5"/>
        <v>0.22500000000000001</v>
      </c>
    </row>
    <row r="36" spans="1:89" x14ac:dyDescent="0.2">
      <c r="A36" t="s">
        <v>815</v>
      </c>
      <c r="B36" t="s">
        <v>4</v>
      </c>
      <c r="C36" t="s">
        <v>4</v>
      </c>
      <c r="D36">
        <v>2006</v>
      </c>
      <c r="E36" t="s">
        <v>641</v>
      </c>
      <c r="F36" t="s">
        <v>683</v>
      </c>
      <c r="G36" t="s">
        <v>582</v>
      </c>
      <c r="H36" t="s">
        <v>639</v>
      </c>
      <c r="I36" t="s">
        <v>8</v>
      </c>
      <c r="W36" s="4" t="s">
        <v>1277</v>
      </c>
      <c r="X36" s="4">
        <f>SUM(X3:X35)</f>
        <v>606</v>
      </c>
      <c r="Y36" s="20">
        <f>SUM(Y3:Y35)</f>
        <v>1</v>
      </c>
      <c r="AP36" s="5" t="s">
        <v>512</v>
      </c>
      <c r="AQ36" s="5">
        <f>COUNTIF($C$3:$C$608,"Noregs ungdomslag")</f>
        <v>5</v>
      </c>
      <c r="AR36" s="9" t="s">
        <v>1260</v>
      </c>
      <c r="BF36" s="4" t="s">
        <v>1277</v>
      </c>
      <c r="BG36" s="4">
        <f>SUM(BG3:BG35)</f>
        <v>239</v>
      </c>
      <c r="BH36" s="20">
        <f>SUM(BH3:BH35)</f>
        <v>0.99999999999999967</v>
      </c>
      <c r="CE36" s="4" t="s">
        <v>1277</v>
      </c>
      <c r="CF36" s="4">
        <f>SUM(CF3:CF35)</f>
        <v>80</v>
      </c>
      <c r="CG36" s="20">
        <f>SUM(CG3:CG35)</f>
        <v>0.99999999999999967</v>
      </c>
    </row>
    <row r="37" spans="1:89" x14ac:dyDescent="0.2">
      <c r="A37" t="s">
        <v>402</v>
      </c>
      <c r="B37" t="s">
        <v>324</v>
      </c>
      <c r="C37" t="s">
        <v>324</v>
      </c>
      <c r="D37">
        <v>2006</v>
      </c>
      <c r="E37" t="s">
        <v>153</v>
      </c>
      <c r="F37" t="s">
        <v>325</v>
      </c>
      <c r="G37" t="s">
        <v>173</v>
      </c>
      <c r="H37" t="s">
        <v>156</v>
      </c>
      <c r="I37" t="s">
        <v>8</v>
      </c>
      <c r="AP37" s="6" t="s">
        <v>1039</v>
      </c>
      <c r="AQ37" s="6">
        <f>COUNTIF($C$3:$C$608,"Norland teater")</f>
        <v>1</v>
      </c>
      <c r="AR37" s="12" t="s">
        <v>1260</v>
      </c>
    </row>
    <row r="38" spans="1:89" x14ac:dyDescent="0.2">
      <c r="A38" t="s">
        <v>1051</v>
      </c>
      <c r="B38" t="s">
        <v>62</v>
      </c>
      <c r="C38" t="s">
        <v>62</v>
      </c>
      <c r="D38">
        <v>2001</v>
      </c>
      <c r="E38" t="s">
        <v>449</v>
      </c>
      <c r="F38" t="s">
        <v>1247</v>
      </c>
      <c r="G38" t="s">
        <v>259</v>
      </c>
      <c r="H38" t="s">
        <v>1050</v>
      </c>
      <c r="I38" t="s">
        <v>452</v>
      </c>
      <c r="AP38" s="5" t="s">
        <v>181</v>
      </c>
      <c r="AQ38" s="5">
        <f>COUNTIF($C$3:$C$608,"NRK")</f>
        <v>8</v>
      </c>
      <c r="AR38" s="9" t="s">
        <v>181</v>
      </c>
    </row>
    <row r="39" spans="1:89" x14ac:dyDescent="0.2">
      <c r="A39" t="s">
        <v>1216</v>
      </c>
      <c r="B39" t="s">
        <v>4</v>
      </c>
      <c r="C39" t="s">
        <v>4</v>
      </c>
      <c r="D39">
        <v>1993</v>
      </c>
      <c r="E39" t="s">
        <v>1203</v>
      </c>
      <c r="F39" t="s">
        <v>1204</v>
      </c>
      <c r="G39" t="s">
        <v>1213</v>
      </c>
      <c r="H39" t="s">
        <v>1202</v>
      </c>
      <c r="I39" t="s">
        <v>8</v>
      </c>
      <c r="AP39" s="6" t="s">
        <v>215</v>
      </c>
      <c r="AQ39" s="6">
        <f>COUNTIF($C$3:$C$608,"Oktober")</f>
        <v>9</v>
      </c>
      <c r="AR39" s="12" t="s">
        <v>215</v>
      </c>
    </row>
    <row r="40" spans="1:89" x14ac:dyDescent="0.2">
      <c r="A40" t="s">
        <v>1212</v>
      </c>
      <c r="B40" t="s">
        <v>4</v>
      </c>
      <c r="C40" t="s">
        <v>4</v>
      </c>
      <c r="D40">
        <v>1997</v>
      </c>
      <c r="E40" t="s">
        <v>1203</v>
      </c>
      <c r="F40" t="s">
        <v>1204</v>
      </c>
      <c r="G40" t="s">
        <v>1213</v>
      </c>
      <c r="H40" t="s">
        <v>1202</v>
      </c>
      <c r="I40" t="s">
        <v>8</v>
      </c>
      <c r="AP40" s="5" t="s">
        <v>1076</v>
      </c>
      <c r="AQ40" s="5">
        <f>COUNTIF($C$3:$C$608,"Orkana")</f>
        <v>2</v>
      </c>
      <c r="AR40" s="9" t="s">
        <v>1260</v>
      </c>
      <c r="BF40" s="37" t="s">
        <v>231</v>
      </c>
      <c r="BG40" s="37"/>
      <c r="BH40" s="37"/>
      <c r="BJ40" s="37" t="s">
        <v>231</v>
      </c>
      <c r="BK40" s="37"/>
      <c r="BL40" s="37"/>
      <c r="CE40" s="37" t="s">
        <v>17</v>
      </c>
      <c r="CF40" s="37"/>
      <c r="CG40" s="37"/>
      <c r="CI40" s="37" t="s">
        <v>17</v>
      </c>
      <c r="CJ40" s="37"/>
      <c r="CK40" s="37"/>
    </row>
    <row r="41" spans="1:89" x14ac:dyDescent="0.2">
      <c r="A41" t="s">
        <v>1221</v>
      </c>
      <c r="B41" t="s">
        <v>94</v>
      </c>
      <c r="C41" t="s">
        <v>94</v>
      </c>
      <c r="D41">
        <v>1993</v>
      </c>
      <c r="E41" t="s">
        <v>1203</v>
      </c>
      <c r="F41" t="s">
        <v>1204</v>
      </c>
      <c r="G41" t="s">
        <v>1205</v>
      </c>
      <c r="H41" t="s">
        <v>1202</v>
      </c>
      <c r="I41" t="s">
        <v>8</v>
      </c>
      <c r="AP41" s="6" t="s">
        <v>607</v>
      </c>
      <c r="AQ41" s="6">
        <f>COUNTIF($C$3:$C$608,"Pax")</f>
        <v>3</v>
      </c>
      <c r="AR41" s="12" t="s">
        <v>1260</v>
      </c>
      <c r="BF41" s="4" t="s">
        <v>1273</v>
      </c>
      <c r="BG41" s="4" t="s">
        <v>1340</v>
      </c>
      <c r="BH41" s="4" t="s">
        <v>1314</v>
      </c>
      <c r="BJ41" s="22" t="s">
        <v>1268</v>
      </c>
      <c r="BK41" s="23" t="s">
        <v>1340</v>
      </c>
      <c r="BL41" s="4" t="s">
        <v>1314</v>
      </c>
      <c r="CE41" s="4" t="s">
        <v>1273</v>
      </c>
      <c r="CF41" s="4" t="s">
        <v>1340</v>
      </c>
      <c r="CG41" s="4" t="s">
        <v>1314</v>
      </c>
      <c r="CI41" s="15" t="s">
        <v>1268</v>
      </c>
      <c r="CJ41" s="4" t="s">
        <v>1340</v>
      </c>
      <c r="CK41" s="4" t="s">
        <v>1314</v>
      </c>
    </row>
    <row r="42" spans="1:89" x14ac:dyDescent="0.2">
      <c r="A42" t="s">
        <v>904</v>
      </c>
      <c r="B42" t="s">
        <v>62</v>
      </c>
      <c r="C42" t="s">
        <v>62</v>
      </c>
      <c r="D42">
        <v>1992</v>
      </c>
      <c r="E42" t="s">
        <v>905</v>
      </c>
      <c r="F42" t="s">
        <v>906</v>
      </c>
      <c r="G42" t="s">
        <v>703</v>
      </c>
      <c r="H42" t="s">
        <v>907</v>
      </c>
      <c r="I42" t="s">
        <v>38</v>
      </c>
      <c r="AP42" s="5" t="s">
        <v>957</v>
      </c>
      <c r="AQ42" s="5">
        <f>COUNTIF($C$3:$C$608,"Pedagogisk psykologisk forl.")</f>
        <v>3</v>
      </c>
      <c r="AR42" s="9" t="s">
        <v>1260</v>
      </c>
      <c r="BF42" s="6" t="s">
        <v>1278</v>
      </c>
      <c r="BG42" s="6">
        <f>COUNTIFS($C$3:$C$608,"Gyldendal", $H$3:$H$608,"ara")</f>
        <v>0</v>
      </c>
      <c r="BH42" s="18">
        <f>BG42/$BG$75</f>
        <v>0</v>
      </c>
      <c r="BJ42" s="6" t="s">
        <v>1269</v>
      </c>
      <c r="BK42" s="6">
        <f>COUNTIFS($C$3:$C$608,"Gyldendal", $I$3:$I$608,"Children's literature")</f>
        <v>10</v>
      </c>
      <c r="BL42" s="18">
        <f>BK42/$BK$47</f>
        <v>0.38461538461538464</v>
      </c>
      <c r="CE42" s="6" t="s">
        <v>1278</v>
      </c>
      <c r="CF42" s="6">
        <f>COUNTIFS($C$3:$C$608,"Cappelen Damm", $H$3:$H$608,"ara")</f>
        <v>2</v>
      </c>
      <c r="CG42" s="18">
        <f>CF42/$CF$75</f>
        <v>7.6923076923076927E-2</v>
      </c>
      <c r="CI42" s="6" t="s">
        <v>1269</v>
      </c>
      <c r="CJ42" s="6">
        <f>COUNTIFS($C$3:$C$608,"Cappelen Damm", $I$3:$I$608,"Children's literature")</f>
        <v>11</v>
      </c>
      <c r="CK42" s="18">
        <f>CJ42/$CJ$47</f>
        <v>0.42307692307692307</v>
      </c>
    </row>
    <row r="43" spans="1:89" x14ac:dyDescent="0.2">
      <c r="A43" t="s">
        <v>904</v>
      </c>
      <c r="B43" t="s">
        <v>304</v>
      </c>
      <c r="C43" t="s">
        <v>304</v>
      </c>
      <c r="D43">
        <v>1998</v>
      </c>
      <c r="E43" t="s">
        <v>905</v>
      </c>
      <c r="F43" t="s">
        <v>906</v>
      </c>
      <c r="G43" t="s">
        <v>369</v>
      </c>
      <c r="H43" t="s">
        <v>907</v>
      </c>
      <c r="I43" t="s">
        <v>38</v>
      </c>
      <c r="AP43" s="6" t="s">
        <v>191</v>
      </c>
      <c r="AQ43" s="6">
        <f>COUNTIF($C$3:$C$608,"Pir forl.")</f>
        <v>1</v>
      </c>
      <c r="AR43" s="12" t="s">
        <v>1260</v>
      </c>
      <c r="BF43" s="5" t="s">
        <v>1279</v>
      </c>
      <c r="BG43" s="5">
        <f>COUNTIFS($C$3:$C$608,"Gyldendal", $H$3:$H$608,"bul")</f>
        <v>0</v>
      </c>
      <c r="BH43" s="17">
        <f t="shared" ref="BH43:BH74" si="6">BG43/$BG$75</f>
        <v>0</v>
      </c>
      <c r="BJ43" s="5" t="s">
        <v>1264</v>
      </c>
      <c r="BK43" s="5">
        <f>COUNTIFS($C$3:$C$608,"Gyldendal", $I$3:$I$608,"Afro-Asiatic literatures, Semitic literatures")+COUNTIFS($C$3:$C$608,"Gyldendal", $I$3:$I$608,"American poetry in English")+COUNTIFS($C$3:$C$608,"Gyldendal", $I$3:$I$608, "Classical Greek epic poetry &amp; fiction")+COUNTIFS($C$3:$C$608,"Gyldendal", $I$3:$I$608, "English miscellaneous writings")+COUNTIFS($C$3:$C$608,"Gyldendal", $I$3:$I$608,"English poetry")+COUNTIFS($C$3:$C$608,"Gyldendal", $I$3:$I$608,"French miscellaneous writings")+COUNTIFS($C$3:$C$608,"Gyldendal",$I$3:$I$608,"French poetry")+COUNTIFS($C$3:$C$608,"Gyldendal",$I$3:$I$608,"German poetry")+COUNTIFS($C$3:$C$608,"Gyldendal",$I$3:$I$608,"Italian poetry")+COUNTIFS($C$3:$C$608,"Gyldendal",$I$3:$I$608,"Latin poetry")+COUNTIFS($C$3:$C$608,"Gyldendal",$I$3:$I$608,"Portuguese literature")+COUNTIFS($C$3:$C$608,"Gyldendal",$I$3:$I$608,"Rhetoric &amp; collections of literature")+COUNTIFS($C$3:$C$608,"Gyldendal",$I$3:$I$608,"Spanish poetry")+2</f>
        <v>9</v>
      </c>
      <c r="BL43" s="17">
        <f t="shared" ref="BL43:BL46" si="7">BK43/$BK$47</f>
        <v>0.34615384615384615</v>
      </c>
      <c r="CE43" s="5" t="s">
        <v>1279</v>
      </c>
      <c r="CF43" s="5">
        <f>COUNTIFS($C$3:$C$608,"Cappelen Damm", $H$3:$H$608,"bul")</f>
        <v>0</v>
      </c>
      <c r="CG43" s="17">
        <f t="shared" ref="CG43:CG74" si="8">CF43/$CF$75</f>
        <v>0</v>
      </c>
      <c r="CI43" s="5" t="s">
        <v>1264</v>
      </c>
      <c r="CJ43" s="16">
        <f>COUNTIFS($C$3:$C$608,"Cappelen Damm", $I$3:$I$608,"Afro-Asiatic literatures, Semitic literatures")+COUNTIFS($C$3:$C$608,"Cappelen Damm", $I$3:$I$608,"American poetry in English")+COUNTIFS($C$3:$C$608,"Cappelen Damm", $I$3:$I$608,"Classical Greek epic poetry &amp; fiction")+COUNTIFS($C$3:$C$608,"Cappelen Damm", $I$3:$I$608,"English miscellaneous writings")+COUNTIFS($C$3:$C$608,"Cappelen Damm", $I$3:$I$608,"English poetry")+COUNTIFS($C$3:$C$608,"Cappelen Damm", $I$3:$I$608,"French miscellaneous writings")+COUNTIFS($C$3:$C$608,"Cappelen Damm",$I$3:$I$608,"French poetry")+COUNTIFS($C$3:$C$608,"Cappelen Damm",$I$3:$I$608,"German poetry")+COUNTIFS($C$3:$C$608,"Cappelen Damm",$I$3:$I$608,"Italian poetry")+COUNTIFS($C$3:$C$608,"Cappelen Damm",$I$3:$I$608,"Latin poetry")+COUNTIFS($C$3:$C$608,"Cappelen Damm",$I$3:$I$608,"Portuguese literature")+COUNTIFS($C$3:$C$608,"Cappelen Damm",$I$3:$I$608,"Rhetoric &amp; collections of literature")+COUNTIFS($C$3:$C$608,"Cappelen Damm",$I$3:$I$608,"Spanish poetry")+3</f>
        <v>12</v>
      </c>
      <c r="CK43" s="21">
        <f t="shared" ref="CK43:CK46" si="9">CJ43/$CJ$47</f>
        <v>0.46153846153846156</v>
      </c>
    </row>
    <row r="44" spans="1:89" x14ac:dyDescent="0.2">
      <c r="A44" t="s">
        <v>1032</v>
      </c>
      <c r="B44" t="s">
        <v>4</v>
      </c>
      <c r="C44" t="s">
        <v>4</v>
      </c>
      <c r="D44">
        <v>2005</v>
      </c>
      <c r="E44" t="s">
        <v>1023</v>
      </c>
      <c r="F44" t="s">
        <v>1033</v>
      </c>
      <c r="G44" t="s">
        <v>1031</v>
      </c>
      <c r="H44" t="s">
        <v>1008</v>
      </c>
      <c r="I44" t="s">
        <v>8</v>
      </c>
      <c r="AP44" s="5" t="s">
        <v>320</v>
      </c>
      <c r="AQ44" s="5">
        <f>COUNTIF($C$3:$C$608,"Riksteatret")</f>
        <v>1</v>
      </c>
      <c r="AR44" s="9" t="s">
        <v>1260</v>
      </c>
      <c r="BF44" s="6" t="s">
        <v>1282</v>
      </c>
      <c r="BG44" s="6">
        <f>COUNTIFS($C$3:$C$608,"Gyldendal", $H$3:$H$608,"cat")</f>
        <v>0</v>
      </c>
      <c r="BH44" s="18">
        <f t="shared" si="6"/>
        <v>0</v>
      </c>
      <c r="BJ44" s="6" t="s">
        <v>38</v>
      </c>
      <c r="BK44" s="6">
        <f>COUNTIFS($C$3:$C$608,"Gyldendal", $I$3:$I$608,"Drama")+COUNTIFS($C$3:$C$608,"Gyldendal", $I$3:$I$608,"Literatures of East &amp; Southeast Asia")+COUNTIFS($C$3:$C$608,"Gyldendal", $I$3:$I$608,"Occitan &amp; Catalan literatures")</f>
        <v>0</v>
      </c>
      <c r="BL44" s="18">
        <f t="shared" si="7"/>
        <v>0</v>
      </c>
      <c r="CE44" s="6" t="s">
        <v>1282</v>
      </c>
      <c r="CF44" s="6">
        <f>COUNTIFS($C$3:$C$608,"Cappelen Damm", $H$3:$H$608,"cat")</f>
        <v>0</v>
      </c>
      <c r="CG44" s="18">
        <f t="shared" si="8"/>
        <v>0</v>
      </c>
      <c r="CI44" s="6" t="s">
        <v>38</v>
      </c>
      <c r="CJ44" s="6">
        <f>COUNTIFS($C$3:$C$608,"Cappelen Damm", $I$3:$I$608,"Drama")+COUNTIFS($C$3:$C$608,"Cappelen Damm", $I$3:$I$608,"Literatures of East &amp; Southeast Asia")+COUNTIFS($C$3:$C$608,"Cappelen Damm", $I$3:$I$608,"Occitan &amp; Catalan literatures")</f>
        <v>0</v>
      </c>
      <c r="CK44" s="18">
        <f t="shared" si="9"/>
        <v>0</v>
      </c>
    </row>
    <row r="45" spans="1:89" x14ac:dyDescent="0.2">
      <c r="A45" t="s">
        <v>74</v>
      </c>
      <c r="B45" t="s">
        <v>30</v>
      </c>
      <c r="C45" t="s">
        <v>30</v>
      </c>
      <c r="D45">
        <v>2010</v>
      </c>
      <c r="E45" t="s">
        <v>5</v>
      </c>
      <c r="F45" t="s">
        <v>75</v>
      </c>
      <c r="G45" t="s">
        <v>1256</v>
      </c>
      <c r="H45" t="s">
        <v>7</v>
      </c>
      <c r="I45" t="s">
        <v>8</v>
      </c>
      <c r="AP45" s="6" t="s">
        <v>272</v>
      </c>
      <c r="AQ45" s="6">
        <f>COUNTIF($C$3:$C$608,"Rogaland teater")</f>
        <v>6</v>
      </c>
      <c r="AR45" s="12" t="s">
        <v>272</v>
      </c>
      <c r="BF45" s="5" t="s">
        <v>1281</v>
      </c>
      <c r="BG45" s="5">
        <f>COUNTIFS($C$3:$C$608,"Gyldendal", $H$3:$H$608,"cze")</f>
        <v>1</v>
      </c>
      <c r="BH45" s="17">
        <f t="shared" si="6"/>
        <v>3.8461538461538464E-2</v>
      </c>
      <c r="BJ45" s="5" t="s">
        <v>1265</v>
      </c>
      <c r="BK45" s="5">
        <f>COUNTIFS($C$3:$C$608,"Gyldendal", $I$3:$I$608,"Altaic, Uralic, Hyperborean &amp; Dravidian")+COUNTIFS($C$3:$C$608,"Gyldendal", $I$3:$I$608,"American fiction in English")+COUNTIFS($C$3:$C$608,"Gyldendal", $I$3:$I$608,"English fiction")+COUNTIFS($C$3:$C$608,"Gyldendal", $I$3:$I$608,"French fiction")+COUNTIFS($C$3:$C$608,"Gyldendal", $I$3:$I$608,"German fiction")+COUNTIFS($C$3:$C$608,"Gyldendal", $I$3:$I$608,"Italian fiction")+COUNTIFS($C$3:$C$608,"Gyldendal", $I$3:$I$608,"Spanish fiction")+1</f>
        <v>7</v>
      </c>
      <c r="BL45" s="17">
        <f t="shared" si="7"/>
        <v>0.26923076923076922</v>
      </c>
      <c r="CE45" s="5" t="s">
        <v>1281</v>
      </c>
      <c r="CF45" s="5">
        <f>COUNTIFS($C$3:$C$608,"Cappelen Damm", $H$3:$H$608,"cze")</f>
        <v>0</v>
      </c>
      <c r="CG45" s="17">
        <f t="shared" si="8"/>
        <v>0</v>
      </c>
      <c r="CI45" s="5" t="s">
        <v>1265</v>
      </c>
      <c r="CJ45" s="16">
        <f>COUNTIFS($C$3:$C$608,"Cappelen Damm", $I$3:$I$608,"Altaic, Uralic, Hyperborean &amp; Dravidian")+COUNTIFS($C$3:$C$608,"Cappelen Damm", $I$3:$I$608,"American fiction in English")+COUNTIFS($C$3:$C$608,"Cappelen Damm", $I$3:$I$608,"English fiction")+COUNTIFS($C$3:$C$608,"Cappelen Damm", $I$3:$I$608,"French fiction")+COUNTIFS($C$3:$C$608,"Cappelen Damm", $I$3:$I$608,"German fiction")+COUNTIFS($C$3:$C$608,"Cappelen Damm", $I$3:$I$608,"Italian fiction")+COUNTIFS($C$3:$C$608,"Cappelen Damm", $I$3:$I$608,"Spanish fiction")</f>
        <v>3</v>
      </c>
      <c r="CK45" s="21">
        <f t="shared" si="9"/>
        <v>0.11538461538461539</v>
      </c>
    </row>
    <row r="46" spans="1:89" x14ac:dyDescent="0.2">
      <c r="A46" t="s">
        <v>61</v>
      </c>
      <c r="B46" t="s">
        <v>62</v>
      </c>
      <c r="C46" t="s">
        <v>62</v>
      </c>
      <c r="D46">
        <v>1995</v>
      </c>
      <c r="E46" t="s">
        <v>35</v>
      </c>
      <c r="F46" t="s">
        <v>63</v>
      </c>
      <c r="G46" t="s">
        <v>64</v>
      </c>
      <c r="H46" t="s">
        <v>7</v>
      </c>
      <c r="I46" t="s">
        <v>38</v>
      </c>
      <c r="AP46" s="5" t="s">
        <v>4</v>
      </c>
      <c r="AQ46" s="5">
        <f>COUNTIF($C$3:$C$608,"Samlaget")</f>
        <v>239</v>
      </c>
      <c r="AR46" s="9" t="s">
        <v>4</v>
      </c>
      <c r="BF46" s="6" t="s">
        <v>1280</v>
      </c>
      <c r="BG46" s="6">
        <f>COUNTIFS($C$3:$C$608,"Gyldendal", $H$3:$H$608,"dan")</f>
        <v>1</v>
      </c>
      <c r="BH46" s="18">
        <f t="shared" si="6"/>
        <v>3.8461538461538464E-2</v>
      </c>
      <c r="BJ46" s="6" t="s">
        <v>1267</v>
      </c>
      <c r="BK46" s="6">
        <f>COUNTIFS($C$3:$C$608,"Gyldendal", $I$3:$I$608,"German letters")+COUNTIFS($C$3:$C$608,"Gyldendal", $I$3:$I$608,"German miscellaneous writings")</f>
        <v>0</v>
      </c>
      <c r="BL46" s="18">
        <f t="shared" si="7"/>
        <v>0</v>
      </c>
      <c r="CE46" s="6" t="s">
        <v>1280</v>
      </c>
      <c r="CF46" s="6">
        <f>COUNTIFS($C$3:$C$608,"Cappelen Damm", $H$3:$H$608,"dan")</f>
        <v>6</v>
      </c>
      <c r="CG46" s="18">
        <f t="shared" si="8"/>
        <v>0.23076923076923078</v>
      </c>
      <c r="CI46" s="6" t="s">
        <v>1267</v>
      </c>
      <c r="CJ46" s="6">
        <f>COUNTIFS($C$3:$C$608,"Cappelen Damm", $I$3:$I$608,"German letters")+COUNTIFS($C$3:$C$608,"Cappelen Damm", $I$3:$I$608,"German miscellaneous writings")</f>
        <v>0</v>
      </c>
      <c r="CK46" s="18">
        <f t="shared" si="9"/>
        <v>0</v>
      </c>
    </row>
    <row r="47" spans="1:89" x14ac:dyDescent="0.2">
      <c r="A47" t="s">
        <v>849</v>
      </c>
      <c r="B47" t="s">
        <v>231</v>
      </c>
      <c r="C47" t="s">
        <v>231</v>
      </c>
      <c r="D47">
        <v>1994</v>
      </c>
      <c r="E47" t="s">
        <v>850</v>
      </c>
      <c r="F47" t="s">
        <v>1223</v>
      </c>
      <c r="G47" t="s">
        <v>1232</v>
      </c>
      <c r="H47" t="s">
        <v>836</v>
      </c>
      <c r="I47" t="s">
        <v>463</v>
      </c>
      <c r="AP47" s="6" t="s">
        <v>382</v>
      </c>
      <c r="AQ47" s="6">
        <f>COUNTIF($C$3:$C$608,"Setesdalsforl.")</f>
        <v>1</v>
      </c>
      <c r="AR47" s="12" t="s">
        <v>1260</v>
      </c>
      <c r="BF47" s="5" t="s">
        <v>1283</v>
      </c>
      <c r="BG47" s="5">
        <f>COUNTIFS($C$3:$C$608,"Gyldendal", $H$3:$H$608,"dut")</f>
        <v>1</v>
      </c>
      <c r="BH47" s="17">
        <f t="shared" si="6"/>
        <v>3.8461538461538464E-2</v>
      </c>
      <c r="BJ47" s="4" t="s">
        <v>1310</v>
      </c>
      <c r="BK47" s="4">
        <f>SUM(BK42:BK46)</f>
        <v>26</v>
      </c>
      <c r="BL47" s="20">
        <f>SUM(BL42:BL46)</f>
        <v>1</v>
      </c>
      <c r="CE47" s="5" t="s">
        <v>1283</v>
      </c>
      <c r="CF47" s="5">
        <f>COUNTIFS($C$3:$C$608,"Cappelen Damm", $H$3:$H$608,"dut")</f>
        <v>0</v>
      </c>
      <c r="CG47" s="17">
        <f t="shared" si="8"/>
        <v>0</v>
      </c>
      <c r="CI47" s="4" t="s">
        <v>1310</v>
      </c>
      <c r="CJ47" s="4">
        <f>SUM(CJ42:CJ46)</f>
        <v>26</v>
      </c>
      <c r="CK47" s="20">
        <f>SUM(CK42:CK46)</f>
        <v>1</v>
      </c>
    </row>
    <row r="48" spans="1:89" x14ac:dyDescent="0.2">
      <c r="A48" t="s">
        <v>199</v>
      </c>
      <c r="B48" t="s">
        <v>88</v>
      </c>
      <c r="C48" t="s">
        <v>89</v>
      </c>
      <c r="D48">
        <v>2001</v>
      </c>
      <c r="E48" t="s">
        <v>200</v>
      </c>
      <c r="F48" t="s">
        <v>201</v>
      </c>
      <c r="G48" t="s">
        <v>202</v>
      </c>
      <c r="H48" t="s">
        <v>156</v>
      </c>
      <c r="I48" t="s">
        <v>8</v>
      </c>
      <c r="AP48" s="5" t="s">
        <v>30</v>
      </c>
      <c r="AQ48" s="5">
        <f>COUNTIF($C$3:$C$608,"Skald")</f>
        <v>13</v>
      </c>
      <c r="AR48" s="9" t="s">
        <v>30</v>
      </c>
      <c r="BF48" s="6" t="s">
        <v>1284</v>
      </c>
      <c r="BG48" s="6">
        <f>COUNTIFS($C$3:$C$608,"Gyldendal", $H$3:$H$608,"eng")</f>
        <v>3</v>
      </c>
      <c r="BH48" s="18">
        <f t="shared" si="6"/>
        <v>0.11538461538461539</v>
      </c>
      <c r="CE48" s="6" t="s">
        <v>1284</v>
      </c>
      <c r="CF48" s="6">
        <f>COUNTIFS($C$3:$C$608,"Cappelen Damm", $H$3:$H$608,"eng")</f>
        <v>2</v>
      </c>
      <c r="CG48" s="18">
        <f t="shared" si="8"/>
        <v>7.6923076923076927E-2</v>
      </c>
    </row>
    <row r="49" spans="1:85" x14ac:dyDescent="0.2">
      <c r="A49" t="s">
        <v>604</v>
      </c>
      <c r="B49" t="s">
        <v>231</v>
      </c>
      <c r="C49" t="s">
        <v>231</v>
      </c>
      <c r="D49">
        <v>2006</v>
      </c>
      <c r="E49" t="s">
        <v>518</v>
      </c>
      <c r="F49" t="s">
        <v>556</v>
      </c>
      <c r="G49" t="s">
        <v>557</v>
      </c>
      <c r="H49" t="s">
        <v>516</v>
      </c>
      <c r="I49" t="s">
        <v>520</v>
      </c>
      <c r="AP49" s="6" t="s">
        <v>334</v>
      </c>
      <c r="AQ49" s="6">
        <f>COUNTIF($C$3:$C$608,"Slow Fire Press")</f>
        <v>3</v>
      </c>
      <c r="AR49" s="12" t="s">
        <v>1260</v>
      </c>
      <c r="BF49" s="5" t="s">
        <v>1285</v>
      </c>
      <c r="BG49" s="5">
        <f>COUNTIFS($C$3:$C$608,"Gyldendal", $H$3:$H$608,"est")</f>
        <v>1</v>
      </c>
      <c r="BH49" s="17">
        <f t="shared" si="6"/>
        <v>3.8461538461538464E-2</v>
      </c>
      <c r="CE49" s="5" t="s">
        <v>1285</v>
      </c>
      <c r="CF49" s="5">
        <f>COUNTIFS($C$3:$C$608,"Cappelen Damm", $H$3:$H$608,"est")</f>
        <v>2</v>
      </c>
      <c r="CG49" s="17">
        <f t="shared" si="8"/>
        <v>7.6923076923076927E-2</v>
      </c>
    </row>
    <row r="50" spans="1:85" x14ac:dyDescent="0.2">
      <c r="A50" t="s">
        <v>376</v>
      </c>
      <c r="B50" t="s">
        <v>377</v>
      </c>
      <c r="C50" t="s">
        <v>231</v>
      </c>
      <c r="D50">
        <v>2002</v>
      </c>
      <c r="E50" t="s">
        <v>378</v>
      </c>
      <c r="F50" t="s">
        <v>1223</v>
      </c>
      <c r="G50" t="s">
        <v>379</v>
      </c>
      <c r="H50" t="s">
        <v>156</v>
      </c>
      <c r="I50" t="s">
        <v>380</v>
      </c>
      <c r="AP50" s="5" t="s">
        <v>1069</v>
      </c>
      <c r="AQ50" s="5">
        <f>COUNTIF($C$3:$C$608,"Snøfugl")</f>
        <v>1</v>
      </c>
      <c r="AR50" s="9" t="s">
        <v>1260</v>
      </c>
      <c r="BF50" s="6" t="s">
        <v>1286</v>
      </c>
      <c r="BG50" s="6">
        <f>COUNTIFS($C$3:$C$608,"Gyldendal", $H$3:$H$608,"fao")</f>
        <v>0</v>
      </c>
      <c r="BH50" s="18">
        <f t="shared" si="6"/>
        <v>0</v>
      </c>
      <c r="CE50" s="6" t="s">
        <v>1286</v>
      </c>
      <c r="CF50" s="6">
        <f>COUNTIFS($C$3:$C$608,"Cappelen Damm", $H$3:$H$608,"fao")</f>
        <v>0</v>
      </c>
      <c r="CG50" s="18">
        <f t="shared" si="8"/>
        <v>0</v>
      </c>
    </row>
    <row r="51" spans="1:85" x14ac:dyDescent="0.2">
      <c r="A51" t="s">
        <v>553</v>
      </c>
      <c r="B51" t="s">
        <v>62</v>
      </c>
      <c r="C51" t="s">
        <v>62</v>
      </c>
      <c r="D51">
        <v>1993</v>
      </c>
      <c r="E51" t="s">
        <v>513</v>
      </c>
      <c r="F51" t="s">
        <v>554</v>
      </c>
      <c r="G51" t="s">
        <v>54</v>
      </c>
      <c r="H51" t="s">
        <v>516</v>
      </c>
      <c r="I51" t="s">
        <v>38</v>
      </c>
      <c r="AP51" s="6" t="s">
        <v>89</v>
      </c>
      <c r="AQ51" s="6">
        <f>COUNTIF($C$3:$C$608,"Sogn og Fjordane teater")</f>
        <v>10</v>
      </c>
      <c r="AR51" s="12" t="s">
        <v>89</v>
      </c>
      <c r="BF51" s="5" t="s">
        <v>1287</v>
      </c>
      <c r="BG51" s="5">
        <f>COUNTIFS($C$3:$C$608,"Gyldendal", $H$3:$H$608,"fin")</f>
        <v>0</v>
      </c>
      <c r="BH51" s="17">
        <f t="shared" si="6"/>
        <v>0</v>
      </c>
      <c r="CE51" s="5" t="s">
        <v>1287</v>
      </c>
      <c r="CF51" s="5">
        <f>COUNTIFS($C$3:$C$608,"Cappelen Damm", $H$3:$H$608,"fin")</f>
        <v>0</v>
      </c>
      <c r="CG51" s="17">
        <f t="shared" si="8"/>
        <v>0</v>
      </c>
    </row>
    <row r="52" spans="1:85" x14ac:dyDescent="0.2">
      <c r="A52" t="s">
        <v>762</v>
      </c>
      <c r="B52" t="s">
        <v>4</v>
      </c>
      <c r="C52" t="s">
        <v>4</v>
      </c>
      <c r="D52">
        <v>2004</v>
      </c>
      <c r="E52" t="s">
        <v>641</v>
      </c>
      <c r="F52" t="s">
        <v>683</v>
      </c>
      <c r="G52" t="s">
        <v>684</v>
      </c>
      <c r="H52" t="s">
        <v>639</v>
      </c>
      <c r="I52" t="s">
        <v>8</v>
      </c>
      <c r="AP52" s="5" t="s">
        <v>69</v>
      </c>
      <c r="AQ52" s="5">
        <f>COUNTIF($C$3:$C$608,"Solum")</f>
        <v>14</v>
      </c>
      <c r="AR52" s="9" t="s">
        <v>69</v>
      </c>
      <c r="BF52" s="6" t="s">
        <v>1288</v>
      </c>
      <c r="BG52" s="6">
        <f>COUNTIFS($C$3:$C$608,"Gyldendal", $H$3:$H$608,"fre")</f>
        <v>3</v>
      </c>
      <c r="BH52" s="18">
        <f t="shared" si="6"/>
        <v>0.11538461538461539</v>
      </c>
      <c r="CE52" s="6" t="s">
        <v>1288</v>
      </c>
      <c r="CF52" s="6">
        <f>COUNTIFS($C$3:$C$608,"Cappelen Damm", $H$3:$H$608,"fre")</f>
        <v>2</v>
      </c>
      <c r="CG52" s="18">
        <f t="shared" si="8"/>
        <v>7.6923076923076927E-2</v>
      </c>
    </row>
    <row r="53" spans="1:85" x14ac:dyDescent="0.2">
      <c r="A53" t="s">
        <v>403</v>
      </c>
      <c r="B53" t="s">
        <v>297</v>
      </c>
      <c r="C53" t="s">
        <v>297</v>
      </c>
      <c r="D53">
        <v>2007</v>
      </c>
      <c r="E53" t="s">
        <v>167</v>
      </c>
      <c r="F53" t="s">
        <v>404</v>
      </c>
      <c r="G53" t="s">
        <v>405</v>
      </c>
      <c r="H53" t="s">
        <v>156</v>
      </c>
      <c r="I53" t="s">
        <v>170</v>
      </c>
      <c r="AP53" s="6" t="s">
        <v>865</v>
      </c>
      <c r="AQ53" s="6">
        <f>COUNTIF($C$3:$C$608,"Stenersens forl.")</f>
        <v>1</v>
      </c>
      <c r="AR53" s="12" t="s">
        <v>1260</v>
      </c>
      <c r="BF53" s="5" t="s">
        <v>1289</v>
      </c>
      <c r="BG53" s="5">
        <f>COUNTIFS($C$3:$C$608,"Gyldendal", $H$3:$H$608,"ger")</f>
        <v>0</v>
      </c>
      <c r="BH53" s="17">
        <f t="shared" si="6"/>
        <v>0</v>
      </c>
      <c r="CE53" s="5" t="s">
        <v>1289</v>
      </c>
      <c r="CF53" s="5">
        <f>COUNTIFS($C$3:$C$608,"Cappelen Damm", $H$3:$H$608,"ger")</f>
        <v>5</v>
      </c>
      <c r="CG53" s="17">
        <f t="shared" si="8"/>
        <v>0.19230769230769232</v>
      </c>
    </row>
    <row r="54" spans="1:85" x14ac:dyDescent="0.2">
      <c r="A54" t="s">
        <v>758</v>
      </c>
      <c r="B54" t="s">
        <v>304</v>
      </c>
      <c r="C54" t="s">
        <v>304</v>
      </c>
      <c r="D54">
        <v>1993</v>
      </c>
      <c r="E54" t="s">
        <v>637</v>
      </c>
      <c r="F54" t="s">
        <v>759</v>
      </c>
      <c r="G54" t="s">
        <v>41</v>
      </c>
      <c r="H54" t="s">
        <v>639</v>
      </c>
      <c r="I54" t="s">
        <v>463</v>
      </c>
      <c r="AP54" s="5" t="s">
        <v>691</v>
      </c>
      <c r="AQ54" s="5">
        <f>COUNTIF($C$3:$C$608,"Storskriftforl.")</f>
        <v>4</v>
      </c>
      <c r="AR54" s="9" t="s">
        <v>1260</v>
      </c>
      <c r="BF54" s="6" t="s">
        <v>1290</v>
      </c>
      <c r="BG54" s="6">
        <f>COUNTIFS($C$3:$C$608,"Gyldendal", $H$3:$H$608,"grc")</f>
        <v>0</v>
      </c>
      <c r="BH54" s="18">
        <f t="shared" si="6"/>
        <v>0</v>
      </c>
      <c r="CE54" s="6" t="s">
        <v>1290</v>
      </c>
      <c r="CF54" s="6">
        <f>COUNTIFS($C$3:$C$608,"Cappelen Damm", $H$3:$H$608,"grc")</f>
        <v>0</v>
      </c>
      <c r="CG54" s="18">
        <f t="shared" si="8"/>
        <v>0</v>
      </c>
    </row>
    <row r="55" spans="1:85" x14ac:dyDescent="0.2">
      <c r="A55" t="s">
        <v>47</v>
      </c>
      <c r="B55" t="s">
        <v>48</v>
      </c>
      <c r="C55" t="s">
        <v>48</v>
      </c>
      <c r="D55">
        <v>2007</v>
      </c>
      <c r="E55" t="s">
        <v>49</v>
      </c>
      <c r="F55" t="s">
        <v>50</v>
      </c>
      <c r="G55" t="s">
        <v>51</v>
      </c>
      <c r="H55" t="s">
        <v>7</v>
      </c>
      <c r="I55" t="s">
        <v>52</v>
      </c>
      <c r="AP55" s="6" t="s">
        <v>448</v>
      </c>
      <c r="AQ55" s="6">
        <f>COUNTIF($C$3:$C$608,"Sypress")</f>
        <v>1</v>
      </c>
      <c r="AR55" s="12" t="s">
        <v>1260</v>
      </c>
      <c r="BF55" s="5" t="s">
        <v>1291</v>
      </c>
      <c r="BG55" s="5">
        <f>COUNTIFS($C$3:$C$608,"Gyldendal", $H$3:$H$608,"gre")</f>
        <v>0</v>
      </c>
      <c r="BH55" s="17">
        <f t="shared" si="6"/>
        <v>0</v>
      </c>
      <c r="CE55" s="5" t="s">
        <v>1291</v>
      </c>
      <c r="CF55" s="5">
        <f>COUNTIFS($C$3:$C$608,"Cappelen Damm", $H$3:$H$608,"gre")</f>
        <v>0</v>
      </c>
      <c r="CG55" s="17">
        <f t="shared" si="8"/>
        <v>0</v>
      </c>
    </row>
    <row r="56" spans="1:85" x14ac:dyDescent="0.2">
      <c r="A56" t="s">
        <v>1169</v>
      </c>
      <c r="B56" t="s">
        <v>4</v>
      </c>
      <c r="C56" t="s">
        <v>4</v>
      </c>
      <c r="D56">
        <v>2001</v>
      </c>
      <c r="E56" t="s">
        <v>1157</v>
      </c>
      <c r="F56" t="s">
        <v>1170</v>
      </c>
      <c r="G56" t="s">
        <v>1167</v>
      </c>
      <c r="H56" t="s">
        <v>1158</v>
      </c>
      <c r="I56" t="s">
        <v>8</v>
      </c>
      <c r="AP56" s="5" t="s">
        <v>219</v>
      </c>
      <c r="AQ56" s="5">
        <f>COUNTIF($C$3:$C$608,"Teatret vårt")</f>
        <v>7</v>
      </c>
      <c r="AR56" s="9" t="s">
        <v>219</v>
      </c>
      <c r="BF56" s="6" t="s">
        <v>1292</v>
      </c>
      <c r="BG56" s="6">
        <f>COUNTIFS($C$3:$C$608,"Gyldendal", $H$3:$H$608,"heb")</f>
        <v>0</v>
      </c>
      <c r="BH56" s="18">
        <f t="shared" si="6"/>
        <v>0</v>
      </c>
      <c r="CE56" s="6" t="s">
        <v>1292</v>
      </c>
      <c r="CF56" s="6">
        <f>COUNTIFS($C$3:$C$608,"Cappelen Damm", $H$3:$H$608,"heb")</f>
        <v>0</v>
      </c>
      <c r="CG56" s="18">
        <f t="shared" si="8"/>
        <v>0</v>
      </c>
    </row>
    <row r="57" spans="1:85" x14ac:dyDescent="0.2">
      <c r="A57" t="s">
        <v>1084</v>
      </c>
      <c r="B57" t="s">
        <v>4</v>
      </c>
      <c r="C57" t="s">
        <v>4</v>
      </c>
      <c r="D57">
        <v>2004</v>
      </c>
      <c r="E57" t="s">
        <v>1077</v>
      </c>
      <c r="F57" t="s">
        <v>1074</v>
      </c>
      <c r="G57" t="s">
        <v>1066</v>
      </c>
      <c r="H57" t="s">
        <v>1067</v>
      </c>
      <c r="I57" t="s">
        <v>463</v>
      </c>
      <c r="AP57" s="6" t="s">
        <v>176</v>
      </c>
      <c r="AQ57" s="6">
        <f>COUNTIF($C$3:$C$608,"Tiden")</f>
        <v>6</v>
      </c>
      <c r="AR57" s="12" t="s">
        <v>176</v>
      </c>
      <c r="BF57" s="5" t="s">
        <v>1293</v>
      </c>
      <c r="BG57" s="5">
        <f>COUNTIFS($C$3:$C$608,"Gyldendal", $H$3:$H$608,"hrv")</f>
        <v>0</v>
      </c>
      <c r="BH57" s="17">
        <f t="shared" si="6"/>
        <v>0</v>
      </c>
      <c r="CE57" s="5" t="s">
        <v>1293</v>
      </c>
      <c r="CF57" s="5">
        <f>COUNTIFS($C$3:$C$608,"Cappelen Damm", $H$3:$H$608,"hrv")</f>
        <v>0</v>
      </c>
      <c r="CG57" s="17">
        <f t="shared" si="8"/>
        <v>0</v>
      </c>
    </row>
    <row r="58" spans="1:85" x14ac:dyDescent="0.2">
      <c r="A58" t="s">
        <v>816</v>
      </c>
      <c r="B58" t="s">
        <v>231</v>
      </c>
      <c r="C58" t="s">
        <v>231</v>
      </c>
      <c r="D58">
        <v>1993</v>
      </c>
      <c r="E58" t="s">
        <v>641</v>
      </c>
      <c r="F58" t="s">
        <v>699</v>
      </c>
      <c r="G58" t="s">
        <v>700</v>
      </c>
      <c r="H58" t="s">
        <v>639</v>
      </c>
      <c r="I58" t="s">
        <v>8</v>
      </c>
      <c r="AP58" s="5" t="s">
        <v>930</v>
      </c>
      <c r="AQ58" s="5">
        <f>COUNTIF($C$3:$C$608,"Tom Rasmussen produksjoner")</f>
        <v>1</v>
      </c>
      <c r="AR58" s="9" t="s">
        <v>1260</v>
      </c>
      <c r="BF58" s="6" t="s">
        <v>1294</v>
      </c>
      <c r="BG58" s="6">
        <f>COUNTIFS($C$3:$C$608,"Gyldendal", $H$3:$H$608,"ice")</f>
        <v>0</v>
      </c>
      <c r="BH58" s="18">
        <f t="shared" si="6"/>
        <v>0</v>
      </c>
      <c r="CE58" s="6" t="s">
        <v>1294</v>
      </c>
      <c r="CF58" s="6">
        <f>COUNTIFS($C$3:$C$608,"Cappelen Damm", $H$3:$H$608,"ice")</f>
        <v>0</v>
      </c>
      <c r="CG58" s="18">
        <f t="shared" si="8"/>
        <v>0</v>
      </c>
    </row>
    <row r="59" spans="1:85" x14ac:dyDescent="0.2">
      <c r="A59" t="s">
        <v>1190</v>
      </c>
      <c r="B59" t="s">
        <v>4</v>
      </c>
      <c r="C59" t="s">
        <v>4</v>
      </c>
      <c r="D59">
        <v>2005</v>
      </c>
      <c r="E59" t="s">
        <v>1191</v>
      </c>
      <c r="F59" t="s">
        <v>1192</v>
      </c>
      <c r="G59" t="s">
        <v>1167</v>
      </c>
      <c r="H59" t="s">
        <v>1158</v>
      </c>
      <c r="I59" t="s">
        <v>463</v>
      </c>
      <c r="AP59" s="6" t="s">
        <v>1004</v>
      </c>
      <c r="AQ59" s="6">
        <f>COUNTIF($C$3:$C$608,"Totalteatret")</f>
        <v>1</v>
      </c>
      <c r="AR59" s="12" t="s">
        <v>1260</v>
      </c>
      <c r="BF59" s="5" t="s">
        <v>1295</v>
      </c>
      <c r="BG59" s="5">
        <f>COUNTIFS($C$3:$C$608,"Gyldendal", $H$3:$H$608,"ita")</f>
        <v>8</v>
      </c>
      <c r="BH59" s="17">
        <f t="shared" si="6"/>
        <v>0.30769230769230771</v>
      </c>
      <c r="CE59" s="5" t="s">
        <v>1295</v>
      </c>
      <c r="CF59" s="5">
        <f>COUNTIFS($C$3:$C$608,"Cappelen Damm", $H$3:$H$608,"ita")</f>
        <v>1</v>
      </c>
      <c r="CG59" s="17">
        <f t="shared" si="8"/>
        <v>3.8461538461538464E-2</v>
      </c>
    </row>
    <row r="60" spans="1:85" x14ac:dyDescent="0.2">
      <c r="A60" t="s">
        <v>763</v>
      </c>
      <c r="B60" t="s">
        <v>764</v>
      </c>
      <c r="C60" t="s">
        <v>304</v>
      </c>
      <c r="D60">
        <v>1994</v>
      </c>
      <c r="E60" t="s">
        <v>637</v>
      </c>
      <c r="F60" t="s">
        <v>676</v>
      </c>
      <c r="G60" t="s">
        <v>1257</v>
      </c>
      <c r="H60" t="s">
        <v>639</v>
      </c>
      <c r="I60" t="s">
        <v>463</v>
      </c>
      <c r="AP60" s="5" t="s">
        <v>249</v>
      </c>
      <c r="AQ60" s="5">
        <f>COUNTIF($C$3:$C$608,"Trøndelag teater")</f>
        <v>1</v>
      </c>
      <c r="AR60" s="9" t="s">
        <v>1260</v>
      </c>
      <c r="BF60" s="6" t="s">
        <v>1296</v>
      </c>
      <c r="BG60" s="6">
        <f>COUNTIFS($C$3:$C$608,"Gyldendal", $H$3:$H$608,"jpn")</f>
        <v>0</v>
      </c>
      <c r="BH60" s="18">
        <f t="shared" si="6"/>
        <v>0</v>
      </c>
      <c r="CE60" s="6" t="s">
        <v>1296</v>
      </c>
      <c r="CF60" s="6">
        <f>COUNTIFS($C$3:$C$608,"Cappelen Damm", $H$3:$H$608,"jpn")</f>
        <v>0</v>
      </c>
      <c r="CG60" s="18">
        <f t="shared" si="8"/>
        <v>0</v>
      </c>
    </row>
    <row r="61" spans="1:85" x14ac:dyDescent="0.2">
      <c r="A61" t="s">
        <v>675</v>
      </c>
      <c r="B61" t="s">
        <v>62</v>
      </c>
      <c r="C61" t="s">
        <v>62</v>
      </c>
      <c r="D61">
        <v>1992</v>
      </c>
      <c r="E61" t="s">
        <v>637</v>
      </c>
      <c r="F61" t="s">
        <v>676</v>
      </c>
      <c r="G61" t="s">
        <v>677</v>
      </c>
      <c r="H61" t="s">
        <v>639</v>
      </c>
      <c r="I61" t="s">
        <v>463</v>
      </c>
      <c r="AP61" s="6" t="s">
        <v>324</v>
      </c>
      <c r="AQ61" s="6">
        <f>COUNTIF($C$3:$C$608,"Tun")</f>
        <v>2</v>
      </c>
      <c r="AR61" s="12" t="s">
        <v>1260</v>
      </c>
      <c r="BF61" s="5" t="s">
        <v>1297</v>
      </c>
      <c r="BG61" s="5">
        <f>COUNTIFS($C$3:$C$608,"Gyldendal", $H$3:$H$608,"lat")</f>
        <v>0</v>
      </c>
      <c r="BH61" s="17">
        <f t="shared" si="6"/>
        <v>0</v>
      </c>
      <c r="CE61" s="5" t="s">
        <v>1297</v>
      </c>
      <c r="CF61" s="5">
        <f>COUNTIFS($C$3:$C$608,"Cappelen Damm", $H$3:$H$608,"lat")</f>
        <v>0</v>
      </c>
      <c r="CG61" s="17">
        <f t="shared" si="8"/>
        <v>0</v>
      </c>
    </row>
    <row r="62" spans="1:85" x14ac:dyDescent="0.2">
      <c r="A62" t="s">
        <v>811</v>
      </c>
      <c r="B62" t="s">
        <v>4</v>
      </c>
      <c r="C62" t="s">
        <v>4</v>
      </c>
      <c r="D62">
        <v>1995</v>
      </c>
      <c r="E62" t="s">
        <v>641</v>
      </c>
      <c r="F62" t="s">
        <v>657</v>
      </c>
      <c r="G62" t="s">
        <v>54</v>
      </c>
      <c r="H62" t="s">
        <v>639</v>
      </c>
      <c r="I62" t="s">
        <v>8</v>
      </c>
      <c r="AG62" s="36" t="s">
        <v>1316</v>
      </c>
      <c r="AH62" s="36"/>
      <c r="AI62" s="36"/>
      <c r="AJ62" s="36"/>
      <c r="AK62" s="36"/>
      <c r="AP62" s="5" t="s">
        <v>970</v>
      </c>
      <c r="AQ62" s="5">
        <f>COUNTIF($C$3:$C$608,"Ura forl.")</f>
        <v>1</v>
      </c>
      <c r="AR62" s="9" t="s">
        <v>1260</v>
      </c>
      <c r="BF62" s="6" t="s">
        <v>1298</v>
      </c>
      <c r="BG62" s="6">
        <f>COUNTIFS($C$3:$C$608,"Gyldendal", $H$3:$H$608,"mac")</f>
        <v>0</v>
      </c>
      <c r="BH62" s="18">
        <f t="shared" si="6"/>
        <v>0</v>
      </c>
      <c r="CE62" s="6" t="s">
        <v>1298</v>
      </c>
      <c r="CF62" s="6">
        <f>COUNTIFS($C$3:$C$608,"Cappelen Damm", $H$3:$H$608,"mac")</f>
        <v>0</v>
      </c>
      <c r="CG62" s="18">
        <f t="shared" si="8"/>
        <v>0</v>
      </c>
    </row>
    <row r="63" spans="1:85" x14ac:dyDescent="0.2">
      <c r="A63" t="s">
        <v>656</v>
      </c>
      <c r="B63" t="s">
        <v>4</v>
      </c>
      <c r="C63" t="s">
        <v>4</v>
      </c>
      <c r="D63">
        <v>1992</v>
      </c>
      <c r="E63" t="s">
        <v>641</v>
      </c>
      <c r="F63" t="s">
        <v>657</v>
      </c>
      <c r="G63" t="s">
        <v>658</v>
      </c>
      <c r="H63" t="s">
        <v>639</v>
      </c>
      <c r="I63" t="s">
        <v>8</v>
      </c>
      <c r="AP63" s="6" t="s">
        <v>591</v>
      </c>
      <c r="AQ63" s="6">
        <f>COUNTIF($C$3:$C$608,"Vigmostad &amp; Bjørke")</f>
        <v>1</v>
      </c>
      <c r="AR63" s="12" t="s">
        <v>1260</v>
      </c>
      <c r="BF63" s="5" t="s">
        <v>1313</v>
      </c>
      <c r="BG63" s="5">
        <f>COUNTIFS($C$3:$C$608,"Gyldendal", $H$3:$H$608,"mul")</f>
        <v>1</v>
      </c>
      <c r="BH63" s="17">
        <f t="shared" si="6"/>
        <v>3.8461538461538464E-2</v>
      </c>
      <c r="CE63" s="5" t="s">
        <v>1313</v>
      </c>
      <c r="CF63" s="5">
        <f>COUNTIFS($C$3:$C$608,"Cappelen Damm", $H$3:$H$608,"mul")</f>
        <v>0</v>
      </c>
      <c r="CG63" s="17">
        <f t="shared" si="8"/>
        <v>0</v>
      </c>
    </row>
    <row r="64" spans="1:85" x14ac:dyDescent="0.2">
      <c r="A64" t="s">
        <v>715</v>
      </c>
      <c r="B64" t="s">
        <v>4</v>
      </c>
      <c r="C64" t="s">
        <v>4</v>
      </c>
      <c r="D64">
        <v>1994</v>
      </c>
      <c r="E64" t="s">
        <v>641</v>
      </c>
      <c r="F64" t="s">
        <v>657</v>
      </c>
      <c r="G64" t="s">
        <v>217</v>
      </c>
      <c r="H64" t="s">
        <v>639</v>
      </c>
      <c r="I64" t="s">
        <v>8</v>
      </c>
      <c r="AG64" s="37" t="s">
        <v>1269</v>
      </c>
      <c r="AH64" s="37"/>
      <c r="AJ64" s="37" t="s">
        <v>1264</v>
      </c>
      <c r="AK64" s="37"/>
      <c r="AP64" s="5" t="s">
        <v>166</v>
      </c>
      <c r="AQ64" s="5">
        <f>COUNTIF($C$3:$C$608,"Von forl.")</f>
        <v>2</v>
      </c>
      <c r="AR64" s="9" t="s">
        <v>1260</v>
      </c>
      <c r="BF64" s="6" t="s">
        <v>1299</v>
      </c>
      <c r="BG64" s="6">
        <f>COUNTIFS($C$3:$C$608,"Gyldendal", $H$3:$H$608,"nob")</f>
        <v>2</v>
      </c>
      <c r="BH64" s="18">
        <f t="shared" si="6"/>
        <v>7.6923076923076927E-2</v>
      </c>
      <c r="CE64" s="6" t="s">
        <v>1299</v>
      </c>
      <c r="CF64" s="6">
        <f>COUNTIFS($C$3:$C$608,"Cappelen Damm", $H$3:$H$608,"nob")</f>
        <v>0</v>
      </c>
      <c r="CG64" s="18">
        <f t="shared" si="8"/>
        <v>0</v>
      </c>
    </row>
    <row r="65" spans="1:85" x14ac:dyDescent="0.2">
      <c r="A65" t="s">
        <v>39</v>
      </c>
      <c r="B65" t="s">
        <v>4</v>
      </c>
      <c r="C65" t="s">
        <v>4</v>
      </c>
      <c r="D65">
        <v>2006</v>
      </c>
      <c r="E65" t="s">
        <v>5</v>
      </c>
      <c r="F65" t="s">
        <v>40</v>
      </c>
      <c r="G65" t="s">
        <v>41</v>
      </c>
      <c r="H65" t="s">
        <v>7</v>
      </c>
      <c r="I65" t="s">
        <v>8</v>
      </c>
      <c r="W65" s="36" t="s">
        <v>1315</v>
      </c>
      <c r="X65" s="36"/>
      <c r="Y65" s="36"/>
      <c r="Z65" s="36"/>
      <c r="AA65" s="36"/>
      <c r="AG65" s="7" t="s">
        <v>1275</v>
      </c>
      <c r="AH65" s="7" t="s">
        <v>1340</v>
      </c>
      <c r="AJ65" s="7" t="s">
        <v>1275</v>
      </c>
      <c r="AK65" s="7" t="s">
        <v>1340</v>
      </c>
      <c r="AP65" s="4" t="s">
        <v>1310</v>
      </c>
      <c r="AQ65" s="4">
        <f>SUM(AQ3:AQ64)</f>
        <v>606</v>
      </c>
      <c r="AR65" s="5"/>
      <c r="BF65" s="5" t="s">
        <v>1300</v>
      </c>
      <c r="BG65" s="5">
        <f>COUNTIFS($C$3:$C$608,"Gyldendal", $H$3:$H$608,"non")</f>
        <v>0</v>
      </c>
      <c r="BH65" s="17">
        <f t="shared" si="6"/>
        <v>0</v>
      </c>
      <c r="CE65" s="5" t="s">
        <v>1300</v>
      </c>
      <c r="CF65" s="5">
        <f>COUNTIFS($C$3:$C$608,"Cappelen Damm", $H$3:$H$608,"non")</f>
        <v>0</v>
      </c>
      <c r="CG65" s="17">
        <f t="shared" si="8"/>
        <v>0</v>
      </c>
    </row>
    <row r="66" spans="1:85" x14ac:dyDescent="0.2">
      <c r="A66" t="s">
        <v>767</v>
      </c>
      <c r="B66" t="s">
        <v>4</v>
      </c>
      <c r="C66" t="s">
        <v>4</v>
      </c>
      <c r="D66">
        <v>2000</v>
      </c>
      <c r="E66" t="s">
        <v>641</v>
      </c>
      <c r="F66" t="s">
        <v>642</v>
      </c>
      <c r="G66" t="s">
        <v>41</v>
      </c>
      <c r="H66" t="s">
        <v>639</v>
      </c>
      <c r="I66" t="s">
        <v>8</v>
      </c>
      <c r="AG66" s="6">
        <v>1990</v>
      </c>
      <c r="AH66" s="6">
        <f>COUNTIFS($D$3:$D$608,"1990", $I$3:$I$608,"Children's literature")</f>
        <v>0</v>
      </c>
      <c r="AJ66" s="6">
        <v>1990</v>
      </c>
      <c r="AK66" s="6">
        <f>COUNTIFS($D$3:$D$608,"1990", $I$3:$I$608,"Afro-Asiatic literatures, Semitic literatures")+COUNTIFS($D$3:$D$608,"1990", $I$3:$I$608,"American poetry in English")+COUNTIFS($D$3:$D$608,"1990", $I$3:$I$608, "Classical Greek epic poetry &amp; fiction")+COUNTIFS($D$3:$D$608,"1990", $I$3:$I$608, "English miscellaneous writings")+COUNTIFS($D$3:$D$608,"1990", $I$3:$I$608,"English poetry")+COUNTIFS($D$3:$D$608,"1990", $I$3:$I$608,"French miscellaneous writings")+COUNTIFS($D$3:$D$608,"1990",$I$3:$I$608,"French poetry")+COUNTIFS($D$3:$D$608,"1990",$I$3:$I$608,"German poetry")+COUNTIFS($D$3:$D$608,"1990",$I$3:$I$608,"Italian poetry")+COUNTIFS($D$3:$D$608,"1990",$I$3:$I$608,"Latin poetry")+COUNTIFS($D$3:$D$608,"1990",$I$3:$I$608,"Portuguese literature")+COUNTIFS($D$3:$D$608,"1990",$I$3:$I$608,"Rhetoric &amp; collections of literature")+COUNTIFS($D$3:$D$608,"1990",$I$3:$I$608,"Spanish poetry")</f>
        <v>0</v>
      </c>
      <c r="BF66" s="6" t="s">
        <v>1301</v>
      </c>
      <c r="BG66" s="6">
        <f>COUNTIFS($C$3:$C$608,"Gyldendal", $H$3:$H$608,"per")</f>
        <v>0</v>
      </c>
      <c r="BH66" s="18">
        <f t="shared" si="6"/>
        <v>0</v>
      </c>
      <c r="CE66" s="6" t="s">
        <v>1301</v>
      </c>
      <c r="CF66" s="6">
        <f>COUNTIFS($C$3:$C$608,"Cappelen Damm", $H$3:$H$608,"per")</f>
        <v>1</v>
      </c>
      <c r="CG66" s="18">
        <f t="shared" si="8"/>
        <v>3.8461538461538464E-2</v>
      </c>
    </row>
    <row r="67" spans="1:85" x14ac:dyDescent="0.2">
      <c r="A67" t="s">
        <v>812</v>
      </c>
      <c r="B67" t="s">
        <v>4</v>
      </c>
      <c r="C67" t="s">
        <v>4</v>
      </c>
      <c r="D67">
        <v>2006</v>
      </c>
      <c r="E67" t="s">
        <v>641</v>
      </c>
      <c r="F67" t="s">
        <v>642</v>
      </c>
      <c r="G67" t="s">
        <v>41</v>
      </c>
      <c r="H67" t="s">
        <v>639</v>
      </c>
      <c r="I67" t="s">
        <v>8</v>
      </c>
      <c r="W67" s="37" t="s">
        <v>1280</v>
      </c>
      <c r="X67" s="37"/>
      <c r="Z67" s="37" t="s">
        <v>1284</v>
      </c>
      <c r="AA67" s="37"/>
      <c r="AG67" s="5">
        <v>1991</v>
      </c>
      <c r="AH67" s="5">
        <f>COUNTIFS($D$3:$D$608,"1991", $I$3:$I$608,"Children's literature")</f>
        <v>5</v>
      </c>
      <c r="AJ67" s="5">
        <v>1991</v>
      </c>
      <c r="AK67" s="5">
        <f>COUNTIFS($D$3:$D$608,"1991", $I$3:$I$608,"Afro-Asiatic literatures, Semitic literatures")+COUNTIFS($D$3:$D$608,"1991", $I$3:$I$608,"American poetry in English")+COUNTIFS($D$3:$D$608,"1991", $I$3:$I$608, "Classical Greek epic poetry &amp; fiction")+COUNTIFS($D$3:$D$608,"1991", $I$3:$I$608, "English miscellaneous writings")+COUNTIFS($D$3:$D$608,"1991", $I$3:$I$608,"English poetry")+COUNTIFS($D$3:$D$608,"1991", $I$3:$I$608,"French miscellaneous writings")+COUNTIFS($D$3:$D$608,"1991",$I$3:$I$608,"French poetry")+COUNTIFS($D$3:$D$608,"1991",$I$3:$I$608,"German poetry")+COUNTIFS($D$3:$D$608,"1991",$I$3:$I$608,"Italian poetry")+COUNTIFS($D$3:$D$608,"1991",$I$3:$I$608,"Latin poetry")+COUNTIFS($D$3:$D$608,"1991",$I$3:$I$608,"Portuguese literature")+COUNTIFS($D$3:$D$608,"1991",$I$3:$I$608,"Rhetoric &amp; collections of literature")+COUNTIFS($D$3:$D$608,"1991",$I$3:$I$608,"Spanish poetry")</f>
        <v>0</v>
      </c>
      <c r="BF67" s="5" t="s">
        <v>1302</v>
      </c>
      <c r="BG67" s="5">
        <f>COUNTIFS($C$3:$C$608,"Gyldendal", $H$3:$H$608,"pol")</f>
        <v>0</v>
      </c>
      <c r="BH67" s="17">
        <f t="shared" si="6"/>
        <v>0</v>
      </c>
      <c r="CE67" s="5" t="s">
        <v>1302</v>
      </c>
      <c r="CF67" s="5">
        <f>COUNTIFS($C$3:$C$608,"Cappelen Damm", $H$3:$H$608,"pol")</f>
        <v>0</v>
      </c>
      <c r="CG67" s="17">
        <f t="shared" si="8"/>
        <v>0</v>
      </c>
    </row>
    <row r="68" spans="1:85" x14ac:dyDescent="0.2">
      <c r="A68" t="s">
        <v>725</v>
      </c>
      <c r="B68" t="s">
        <v>4</v>
      </c>
      <c r="C68" t="s">
        <v>4</v>
      </c>
      <c r="D68">
        <v>1997</v>
      </c>
      <c r="E68" t="s">
        <v>641</v>
      </c>
      <c r="F68" t="s">
        <v>642</v>
      </c>
      <c r="G68" t="s">
        <v>41</v>
      </c>
      <c r="H68" t="s">
        <v>639</v>
      </c>
      <c r="I68" t="s">
        <v>8</v>
      </c>
      <c r="W68" s="7" t="s">
        <v>1275</v>
      </c>
      <c r="X68" s="7" t="s">
        <v>1340</v>
      </c>
      <c r="Z68" s="7" t="s">
        <v>1275</v>
      </c>
      <c r="AA68" s="7" t="s">
        <v>1340</v>
      </c>
      <c r="AG68" s="6">
        <v>1992</v>
      </c>
      <c r="AH68" s="6">
        <f>COUNTIFS($D$3:$D$608,"1992", $I$3:$I$608,"Children's literature")</f>
        <v>9</v>
      </c>
      <c r="AJ68" s="6">
        <v>1992</v>
      </c>
      <c r="AK68" s="6">
        <f>COUNTIFS($D$3:$D$608,"1992", $I$3:$I$608,"Afro-Asiatic literatures, Semitic literatures")+COUNTIFS($D$3:$D$608,"1992", $I$3:$I$608,"American poetry in English")+COUNTIFS($D$3:$D$608,"1992", $I$3:$I$608, "Classical Greek epic poetry &amp; fiction")+COUNTIFS($D$3:$D$608,"1992", $I$3:$I$608, "English miscellaneous writings")+COUNTIFS($D$3:$D$608,"1992", $I$3:$I$608,"English poetry")+COUNTIFS($D$3:$D$608,"1992", $I$3:$I$608,"French miscellaneous writings")+COUNTIFS($D$3:$D$608,"1992",$I$3:$I$608,"French poetry")+COUNTIFS($D$3:$D$608,"1992",$I$3:$I$608,"German poetry")+COUNTIFS($D$3:$D$608,"1992",$I$3:$I$608,"Italian poetry")+COUNTIFS($D$3:$D$608,"1992",$I$3:$I$608,"Latin poetry")+COUNTIFS($D$3:$D$608,"1992",$I$3:$I$608,"Portuguese literature")+COUNTIFS($D$3:$D$608,"1992",$I$3:$I$608,"Rhetoric &amp; collections of literature")+COUNTIFS($D$3:$D$608,"1992",$I$3:$I$608,"Spanish poetry")</f>
        <v>0</v>
      </c>
      <c r="BF68" s="6" t="s">
        <v>1303</v>
      </c>
      <c r="BG68" s="6">
        <f>COUNTIFS($C$3:$C$608,"Gyldendal", $H$3:$H$608,"por")</f>
        <v>0</v>
      </c>
      <c r="BH68" s="18">
        <f t="shared" si="6"/>
        <v>0</v>
      </c>
      <c r="CE68" s="6" t="s">
        <v>1303</v>
      </c>
      <c r="CF68" s="6">
        <f>COUNTIFS($C$3:$C$608,"Cappelen Damm", $H$3:$H$608,"por")</f>
        <v>1</v>
      </c>
      <c r="CG68" s="18">
        <f t="shared" si="8"/>
        <v>3.8461538461538464E-2</v>
      </c>
    </row>
    <row r="69" spans="1:85" x14ac:dyDescent="0.2">
      <c r="A69" t="s">
        <v>697</v>
      </c>
      <c r="B69" t="s">
        <v>4</v>
      </c>
      <c r="C69" t="s">
        <v>4</v>
      </c>
      <c r="D69">
        <v>1996</v>
      </c>
      <c r="E69" t="s">
        <v>641</v>
      </c>
      <c r="F69" t="s">
        <v>642</v>
      </c>
      <c r="G69" t="s">
        <v>41</v>
      </c>
      <c r="H69" t="s">
        <v>639</v>
      </c>
      <c r="I69" t="s">
        <v>8</v>
      </c>
      <c r="W69" s="6">
        <v>1990</v>
      </c>
      <c r="X69" s="6">
        <f>COUNTIFS($H$3:$H$608,"dan",$D$3:$D$608,"1990")</f>
        <v>1</v>
      </c>
      <c r="Z69" s="6">
        <v>1990</v>
      </c>
      <c r="AA69" s="6">
        <f>COUNTIFS($H$3:$H$608,"eng",$D$3:$D$608,"1990")</f>
        <v>0</v>
      </c>
      <c r="AG69" s="5">
        <v>1993</v>
      </c>
      <c r="AH69" s="5">
        <f>COUNTIFS($D$3:$D$608,"1993", $I$3:$I$608,"Children's literature")</f>
        <v>15</v>
      </c>
      <c r="AJ69" s="5">
        <v>1993</v>
      </c>
      <c r="AK69" s="5">
        <f>COUNTIFS($D$3:$D$608,"1993", $I$3:$I$608,"Afro-Asiatic literatures, Semitic literatures")+COUNTIFS($D$3:$D$608,"1993", $I$3:$I$608,"American poetry in English")+COUNTIFS($D$3:$D$608,"1993", $I$3:$I$608, "Classical Greek epic poetry &amp; fiction")+COUNTIFS($D$3:$D$608,"1993", $I$3:$I$608, "English miscellaneous writings")+COUNTIFS($D$3:$D$608,"1993", $I$3:$I$608,"English poetry")+COUNTIFS($D$3:$D$608,"1993", $I$3:$I$608,"French miscellaneous writings")+COUNTIFS($D$3:$D$608,"1993",$I$3:$I$608,"French poetry")+COUNTIFS($D$3:$D$608,"1993",$I$3:$I$608,"German poetry")+COUNTIFS($D$3:$D$608,"1993",$I$3:$I$608,"Italian poetry")+COUNTIFS($D$3:$D$608,"1993",$I$3:$I$608,"Latin poetry")+COUNTIFS($D$3:$D$608,"1993",$I$3:$I$608,"Portuguese literature")+COUNTIFS($D$3:$D$608,"1993",$I$3:$I$608,"Rhetoric &amp; collections of literature")+COUNTIFS($D$3:$D$608,"1993",$I$3:$I$608,"Spanish poetry")</f>
        <v>2</v>
      </c>
      <c r="BF69" s="5" t="s">
        <v>1304</v>
      </c>
      <c r="BG69" s="5">
        <f>COUNTIFS($C$3:$C$608,"Gyldendal", $H$3:$H$608,"rus")</f>
        <v>0</v>
      </c>
      <c r="BH69" s="17">
        <f t="shared" si="6"/>
        <v>0</v>
      </c>
      <c r="CE69" s="5" t="s">
        <v>1304</v>
      </c>
      <c r="CF69" s="5">
        <f>COUNTIFS($C$3:$C$608,"Cappelen Damm", $H$3:$H$608,"rus")</f>
        <v>1</v>
      </c>
      <c r="CG69" s="17">
        <f t="shared" si="8"/>
        <v>3.8461538461538464E-2</v>
      </c>
    </row>
    <row r="70" spans="1:85" x14ac:dyDescent="0.2">
      <c r="A70" t="s">
        <v>678</v>
      </c>
      <c r="B70" t="s">
        <v>4</v>
      </c>
      <c r="C70" t="s">
        <v>4</v>
      </c>
      <c r="D70">
        <v>2000</v>
      </c>
      <c r="E70" t="s">
        <v>641</v>
      </c>
      <c r="F70" t="s">
        <v>642</v>
      </c>
      <c r="G70" t="s">
        <v>41</v>
      </c>
      <c r="H70" t="s">
        <v>639</v>
      </c>
      <c r="I70" t="s">
        <v>8</v>
      </c>
      <c r="W70" s="5">
        <v>1991</v>
      </c>
      <c r="X70" s="5">
        <f>COUNTIFS($H$3:$H$608,"dan",$D$3:$D$608,"1991")</f>
        <v>1</v>
      </c>
      <c r="Z70" s="5">
        <v>1991</v>
      </c>
      <c r="AA70" s="5">
        <f>COUNTIFS($H$3:$H$608,"eng",$D$3:$D$608,"1991")</f>
        <v>1</v>
      </c>
      <c r="AG70" s="6">
        <v>1994</v>
      </c>
      <c r="AH70" s="6">
        <f>COUNTIFS($D$3:$D$608,"1994", $I$3:$I$608,"Children's literature")</f>
        <v>16</v>
      </c>
      <c r="AJ70" s="6">
        <v>1994</v>
      </c>
      <c r="AK70" s="6">
        <f>COUNTIFS($D$3:$D$608,"1994", $I$3:$I$608,"Afro-Asiatic literatures, Semitic literatures")+COUNTIFS($D$3:$D$608,"1994", $I$3:$I$608,"American poetry in English")+COUNTIFS($D$3:$D$608,"1994", $I$3:$I$608, "Classical Greek epic poetry &amp; fiction")+COUNTIFS($D$3:$D$608,"1994", $I$3:$I$608, "English miscellaneous writings")+COUNTIFS($D$3:$D$608,"1994", $I$3:$I$608,"English poetry")+COUNTIFS($D$3:$D$608,"1994", $I$3:$I$608,"French miscellaneous writings")+COUNTIFS($D$3:$D$608,"1994",$I$3:$I$608,"French poetry")+COUNTIFS($D$3:$D$608,"1994",$I$3:$I$608,"German poetry")+COUNTIFS($D$3:$D$608,"1994",$I$3:$I$608,"Italian poetry")+COUNTIFS($D$3:$D$608,"1994",$I$3:$I$608,"Latin poetry")+COUNTIFS($D$3:$D$608,"1994",$I$3:$I$608,"Portuguese literature")+COUNTIFS($D$3:$D$608,"1994",$I$3:$I$608,"Rhetoric &amp; collections of literature")+COUNTIFS($D$3:$D$608,"1994",$I$3:$I$608,"Spanish poetry")+1+1</f>
        <v>4</v>
      </c>
      <c r="BF70" s="6" t="s">
        <v>1305</v>
      </c>
      <c r="BG70" s="6">
        <f>COUNTIFS($C$3:$C$608,"Gyldendal", $H$3:$H$608,"slo")</f>
        <v>0</v>
      </c>
      <c r="BH70" s="18">
        <f t="shared" si="6"/>
        <v>0</v>
      </c>
      <c r="CE70" s="6" t="s">
        <v>1305</v>
      </c>
      <c r="CF70" s="6">
        <f>COUNTIFS($C$3:$C$608,"Cappelen Damm", $H$3:$H$608,"slo")</f>
        <v>1</v>
      </c>
      <c r="CG70" s="18">
        <f t="shared" si="8"/>
        <v>3.8461538461538464E-2</v>
      </c>
    </row>
    <row r="71" spans="1:85" x14ac:dyDescent="0.2">
      <c r="A71" t="s">
        <v>765</v>
      </c>
      <c r="B71" t="s">
        <v>4</v>
      </c>
      <c r="C71" t="s">
        <v>4</v>
      </c>
      <c r="D71">
        <v>1996</v>
      </c>
      <c r="E71" t="s">
        <v>641</v>
      </c>
      <c r="F71" t="s">
        <v>642</v>
      </c>
      <c r="G71" t="s">
        <v>41</v>
      </c>
      <c r="H71" t="s">
        <v>639</v>
      </c>
      <c r="I71" t="s">
        <v>8</v>
      </c>
      <c r="W71" s="6">
        <v>1992</v>
      </c>
      <c r="X71" s="6">
        <f>COUNTIFS($H$3:$H$608,"dan",$D$3:$D$608,"1992")</f>
        <v>0</v>
      </c>
      <c r="Z71" s="6">
        <v>1992</v>
      </c>
      <c r="AA71" s="6">
        <f>COUNTIFS($H$3:$H$608,"eng",$D$3:$D$608,"1992")</f>
        <v>0</v>
      </c>
      <c r="AG71" s="5">
        <v>1995</v>
      </c>
      <c r="AH71" s="5">
        <f>COUNTIFS($D$3:$D$608,"1995", $I$3:$I$608,"Children's literature")</f>
        <v>10</v>
      </c>
      <c r="AJ71" s="5">
        <v>1995</v>
      </c>
      <c r="AK71" s="5">
        <f>COUNTIFS($D$3:$D$608,"1995", $I$3:$I$608,"Afro-Asiatic literatures, Semitic literatures")+COUNTIFS($D$3:$D$608,"1995", $I$3:$I$608,"American poetry in English")+COUNTIFS($D$3:$D$608,"1995", $I$3:$I$608, "Classical Greek epic poetry &amp; fiction")+COUNTIFS($D$3:$D$608,"1995", $I$3:$I$608, "English miscellaneous writings")+COUNTIFS($D$3:$D$608,"1995", $I$3:$I$608,"English poetry")+COUNTIFS($D$3:$D$608,"1995", $I$3:$I$608,"French miscellaneous writings")+COUNTIFS($D$3:$D$608,"1995",$I$3:$I$608,"French poetry")+COUNTIFS($D$3:$D$608,"1995",$I$3:$I$608,"German poetry")+COUNTIFS($D$3:$D$608,"1995",$I$3:$I$608,"Italian poetry")+COUNTIFS($D$3:$D$608,"1995",$I$3:$I$608,"Latin poetry")+COUNTIFS($D$3:$D$608,"1995",$I$3:$I$608,"Portuguese literature")+COUNTIFS($D$3:$D$608,"1995",$I$3:$I$608,"Rhetoric &amp; collections of literature")+COUNTIFS($D$3:$D$608,"1995",$I$3:$I$608,"Spanish poetry")</f>
        <v>2</v>
      </c>
      <c r="BF71" s="5" t="s">
        <v>1306</v>
      </c>
      <c r="BG71" s="5">
        <f>COUNTIFS($C$3:$C$608,"Gyldendal", $H$3:$H$608,"sme")</f>
        <v>0</v>
      </c>
      <c r="BH71" s="17">
        <f t="shared" si="6"/>
        <v>0</v>
      </c>
      <c r="CE71" s="5" t="s">
        <v>1306</v>
      </c>
      <c r="CF71" s="5">
        <f>COUNTIFS($C$3:$C$608,"Cappelen Damm", $H$3:$H$608,"sme")</f>
        <v>0</v>
      </c>
      <c r="CG71" s="17">
        <f t="shared" si="8"/>
        <v>0</v>
      </c>
    </row>
    <row r="72" spans="1:85" x14ac:dyDescent="0.2">
      <c r="A72" t="s">
        <v>640</v>
      </c>
      <c r="B72" t="s">
        <v>4</v>
      </c>
      <c r="C72" t="s">
        <v>4</v>
      </c>
      <c r="D72">
        <v>1997</v>
      </c>
      <c r="E72" t="s">
        <v>641</v>
      </c>
      <c r="F72" t="s">
        <v>642</v>
      </c>
      <c r="G72" t="s">
        <v>41</v>
      </c>
      <c r="H72" t="s">
        <v>639</v>
      </c>
      <c r="I72" t="s">
        <v>8</v>
      </c>
      <c r="W72" s="5">
        <v>1993</v>
      </c>
      <c r="X72" s="5">
        <f>COUNTIFS($H$3:$H$608,"dan",$D$3:$D$608,"1993")</f>
        <v>0</v>
      </c>
      <c r="Z72" s="5">
        <v>1993</v>
      </c>
      <c r="AA72" s="5">
        <f>COUNTIFS($H$3:$H$608,"eng",$D$3:$D$608,"1993")</f>
        <v>0</v>
      </c>
      <c r="AG72" s="6">
        <v>1996</v>
      </c>
      <c r="AH72" s="6">
        <f>COUNTIFS($D$3:$D$608,"1996", $I$3:$I$608,"Children's literature")</f>
        <v>4</v>
      </c>
      <c r="AJ72" s="6">
        <v>1996</v>
      </c>
      <c r="AK72" s="6">
        <f>COUNTIFS($D$3:$D$608,"1996", $I$3:$I$608,"Afro-Asiatic literatures, Semitic literatures")+COUNTIFS($D$3:$D$608,"1996", $I$3:$I$608,"American poetry in English")+COUNTIFS($D$3:$D$608,"1996", $I$3:$I$608, "Classical Greek epic poetry &amp; fiction")+COUNTIFS($D$3:$D$608,"1996", $I$3:$I$608, "English miscellaneous writings")+COUNTIFS($D$3:$D$608,"1996", $I$3:$I$608,"English poetry")+COUNTIFS($D$3:$D$608,"1996", $I$3:$I$608,"French miscellaneous writings")+COUNTIFS($D$3:$D$608,"1996",$I$3:$I$608,"French poetry")+COUNTIFS($D$3:$D$608,"1996",$I$3:$I$608,"German poetry")+COUNTIFS($D$3:$D$608,"1996",$I$3:$I$608,"Italian poetry")+COUNTIFS($D$3:$D$608,"1996",$I$3:$I$608,"Latin poetry")+COUNTIFS($D$3:$D$608,"1996",$I$3:$I$608,"Portuguese literature")+COUNTIFS($D$3:$D$608,"1996",$I$3:$I$608,"Rhetoric &amp; collections of literature")+COUNTIFS($D$3:$D$608,"1996",$I$3:$I$608,"Spanish poetry")+2</f>
        <v>7</v>
      </c>
      <c r="BF72" s="6" t="s">
        <v>1307</v>
      </c>
      <c r="BG72" s="6">
        <f>COUNTIFS($C$3:$C$608,"Gyldendal", $H$3:$H$608,"spa")</f>
        <v>0</v>
      </c>
      <c r="BH72" s="18">
        <f t="shared" si="6"/>
        <v>0</v>
      </c>
      <c r="CE72" s="6" t="s">
        <v>1307</v>
      </c>
      <c r="CF72" s="6">
        <f>COUNTIFS($C$3:$C$608,"Cappelen Damm", $H$3:$H$608,"spa")</f>
        <v>1</v>
      </c>
      <c r="CG72" s="18">
        <f t="shared" si="8"/>
        <v>3.8461538461538464E-2</v>
      </c>
    </row>
    <row r="73" spans="1:85" x14ac:dyDescent="0.2">
      <c r="A73" t="s">
        <v>740</v>
      </c>
      <c r="B73" t="s">
        <v>62</v>
      </c>
      <c r="C73" t="s">
        <v>62</v>
      </c>
      <c r="D73">
        <v>2000</v>
      </c>
      <c r="E73" t="s">
        <v>637</v>
      </c>
      <c r="F73" t="s">
        <v>1230</v>
      </c>
      <c r="G73" t="s">
        <v>330</v>
      </c>
      <c r="H73" t="s">
        <v>639</v>
      </c>
      <c r="I73" t="s">
        <v>463</v>
      </c>
      <c r="W73" s="6">
        <v>1994</v>
      </c>
      <c r="X73" s="6">
        <f>COUNTIFS($H$3:$H$608,"dan",$D$3:$D$608,"1994")</f>
        <v>5</v>
      </c>
      <c r="Z73" s="6">
        <v>1994</v>
      </c>
      <c r="AA73" s="6">
        <f>COUNTIFS($H$3:$H$608,"eng",$D$3:$D$608,"1994")</f>
        <v>0</v>
      </c>
      <c r="AG73" s="5">
        <v>1997</v>
      </c>
      <c r="AH73" s="5">
        <f>COUNTIFS($D$3:$D$608,"1997", $I$3:$I$608,"Children's literature")</f>
        <v>10</v>
      </c>
      <c r="AJ73" s="5">
        <v>1997</v>
      </c>
      <c r="AK73" s="5">
        <f>COUNTIFS($D$3:$D$608,"1997", $I$3:$I$608,"Afro-Asiatic literatures, Semitic literatures")+COUNTIFS($D$3:$D$608,"1997", $I$3:$I$608,"American poetry in English")+COUNTIFS($D$3:$D$608,"1997", $I$3:$I$608, "Classical Greek epic poetry &amp; fiction")+COUNTIFS($D$3:$D$608,"1997", $I$3:$I$608, "English miscellaneous writings")+COUNTIFS($D$3:$D$608,"1997", $I$3:$I$608,"English poetry")+COUNTIFS($D$3:$D$608,"1997", $I$3:$I$608,"French miscellaneous writings")+COUNTIFS($D$3:$D$608,"1997",$I$3:$I$608,"French poetry")+COUNTIFS($D$3:$D$608,"1997",$I$3:$I$608,"German poetry")+COUNTIFS($D$3:$D$608,"1997",$I$3:$I$608,"Italian poetry")+COUNTIFS($D$3:$D$608,"1997",$I$3:$I$608,"Latin poetry")+COUNTIFS($D$3:$D$608,"1997",$I$3:$I$608,"Portuguese literature")+COUNTIFS($D$3:$D$608,"1997",$I$3:$I$608,"Rhetoric &amp; collections of literature")+COUNTIFS($D$3:$D$608,"1997",$I$3:$I$608,"Spanish poetry")+1</f>
        <v>6</v>
      </c>
      <c r="BF73" s="5" t="s">
        <v>1308</v>
      </c>
      <c r="BG73" s="5">
        <f>COUNTIFS($C$3:$C$608,"Gyldendal", $H$3:$H$608,"srp")</f>
        <v>0</v>
      </c>
      <c r="BH73" s="17">
        <f t="shared" si="6"/>
        <v>0</v>
      </c>
      <c r="CE73" s="5" t="s">
        <v>1308</v>
      </c>
      <c r="CF73" s="5">
        <f>COUNTIFS($C$3:$C$608,"Cappelen Damm", $H$3:$H$608,"srp")</f>
        <v>0</v>
      </c>
      <c r="CG73" s="17">
        <f t="shared" si="8"/>
        <v>0</v>
      </c>
    </row>
    <row r="74" spans="1:85" x14ac:dyDescent="0.2">
      <c r="A74" t="s">
        <v>578</v>
      </c>
      <c r="B74" t="s">
        <v>62</v>
      </c>
      <c r="C74" t="s">
        <v>62</v>
      </c>
      <c r="D74">
        <v>1998</v>
      </c>
      <c r="E74" t="s">
        <v>513</v>
      </c>
      <c r="F74" t="s">
        <v>579</v>
      </c>
      <c r="G74" t="s">
        <v>369</v>
      </c>
      <c r="H74" t="s">
        <v>516</v>
      </c>
      <c r="I74" t="s">
        <v>38</v>
      </c>
      <c r="W74" s="5">
        <v>1995</v>
      </c>
      <c r="X74" s="5">
        <f>COUNTIFS($H$3:$H$608,"dan",$D$3:$D$608,"1995")</f>
        <v>3</v>
      </c>
      <c r="Z74" s="5">
        <v>1995</v>
      </c>
      <c r="AA74" s="5">
        <f>COUNTIFS($H$3:$H$608,"eng",$D$3:$D$608,"1995")</f>
        <v>0</v>
      </c>
      <c r="AG74" s="6">
        <v>1998</v>
      </c>
      <c r="AH74" s="6">
        <f>COUNTIFS($D$3:$D$608,"1998", $I$3:$I$608,"Children's literature")</f>
        <v>6</v>
      </c>
      <c r="AJ74" s="6">
        <v>1998</v>
      </c>
      <c r="AK74" s="6">
        <f>COUNTIFS($D$3:$D$608,"1998", $I$3:$I$608,"Afro-Asiatic literatures, Semitic literatures")+COUNTIFS($D$3:$D$608,"1998", $I$3:$I$608,"American poetry in English")+COUNTIFS($D$3:$D$608,"1998", $I$3:$I$608, "Classical Greek epic poetry &amp; fiction")+COUNTIFS($D$3:$D$608,"1998", $I$3:$I$608, "English miscellaneous writings")+COUNTIFS($D$3:$D$608,"1998", $I$3:$I$608,"English poetry")+COUNTIFS($D$3:$D$608,"1998", $I$3:$I$608,"French miscellaneous writings")+COUNTIFS($D$3:$D$608,"1998",$I$3:$I$608,"French poetry")+COUNTIFS($D$3:$D$608,"1998",$I$3:$I$608,"German poetry")+COUNTIFS($D$3:$D$608,"1998",$I$3:$I$608,"Italian poetry")+COUNTIFS($D$3:$D$608,"1998",$I$3:$I$608,"Latin poetry")+COUNTIFS($D$3:$D$608,"1998",$I$3:$I$608,"Portuguese literature")+COUNTIFS($D$3:$D$608,"1998",$I$3:$I$608,"Rhetoric &amp; collections of literature")+COUNTIFS($D$3:$D$608,"1998",$I$3:$I$608,"Spanish poetry")</f>
        <v>4</v>
      </c>
      <c r="BF74" s="6" t="s">
        <v>1309</v>
      </c>
      <c r="BG74" s="6">
        <f>COUNTIFS($C$3:$C$608,"Gyldendal", $H$3:$H$608,"swe")</f>
        <v>5</v>
      </c>
      <c r="BH74" s="18">
        <f t="shared" si="6"/>
        <v>0.19230769230769232</v>
      </c>
      <c r="CE74" s="6" t="s">
        <v>1309</v>
      </c>
      <c r="CF74" s="6">
        <f>COUNTIFS($C$3:$C$608,"Cappelen Damm", $H$3:$H$608,"swe")</f>
        <v>1</v>
      </c>
      <c r="CG74" s="18">
        <f t="shared" si="8"/>
        <v>3.8461538461538464E-2</v>
      </c>
    </row>
    <row r="75" spans="1:85" x14ac:dyDescent="0.2">
      <c r="A75" t="s">
        <v>357</v>
      </c>
      <c r="B75" t="s">
        <v>231</v>
      </c>
      <c r="C75" t="s">
        <v>231</v>
      </c>
      <c r="D75">
        <v>2007</v>
      </c>
      <c r="E75" t="s">
        <v>153</v>
      </c>
      <c r="F75" t="s">
        <v>201</v>
      </c>
      <c r="G75" t="s">
        <v>41</v>
      </c>
      <c r="H75" t="s">
        <v>156</v>
      </c>
      <c r="I75" t="s">
        <v>8</v>
      </c>
      <c r="W75" s="6">
        <v>1996</v>
      </c>
      <c r="X75" s="6">
        <f>COUNTIFS($H$3:$H$608,"dan",$D$3:$D$608,"1996")</f>
        <v>0</v>
      </c>
      <c r="Z75" s="6">
        <v>1996</v>
      </c>
      <c r="AA75" s="6">
        <f>COUNTIFS($H$3:$H$608,"eng",$D$3:$D$608,"1996")</f>
        <v>0</v>
      </c>
      <c r="AG75" s="5">
        <v>1999</v>
      </c>
      <c r="AH75" s="5">
        <f>COUNTIFS($D$3:$D$608,"1999", $I$3:$I$608,"Children's literature")</f>
        <v>12</v>
      </c>
      <c r="AJ75" s="5">
        <v>1999</v>
      </c>
      <c r="AK75" s="5">
        <f>COUNTIFS($D$3:$D$608,"1999", $I$3:$I$608,"Afro-Asiatic literatures, Semitic literatures")+COUNTIFS($D$3:$D$608,"1999", $I$3:$I$608,"American poetry in English")+COUNTIFS($D$3:$D$608,"1999", $I$3:$I$608, "Classical Greek epic poetry &amp; fiction")+COUNTIFS($D$3:$D$608,"1999", $I$3:$I$608, "English miscellaneous writings")+COUNTIFS($D$3:$D$608,"1999", $I$3:$I$608,"English poetry")+COUNTIFS($D$3:$D$608,"1999", $I$3:$I$608,"French miscellaneous writings")+COUNTIFS($D$3:$D$608,"1999",$I$3:$I$608,"French poetry")+COUNTIFS($D$3:$D$608,"1999",$I$3:$I$608,"German poetry")+COUNTIFS($D$3:$D$608,"1999",$I$3:$I$608,"Italian poetry")+COUNTIFS($D$3:$D$608,"1999",$I$3:$I$608,"Latin poetry")+COUNTIFS($D$3:$D$608,"1999",$I$3:$I$608,"Portuguese literature")+COUNTIFS($D$3:$D$608,"1999",$I$3:$I$608,"Rhetoric &amp; collections of literature")+COUNTIFS($D$3:$D$608,"1999",$I$3:$I$608,"Spanish poetry")+1</f>
        <v>10</v>
      </c>
      <c r="BF75" s="4" t="s">
        <v>1277</v>
      </c>
      <c r="BG75" s="4">
        <f>SUM(BG42:BG74)</f>
        <v>26</v>
      </c>
      <c r="BH75" s="20">
        <f>SUM(BH42:BH74)</f>
        <v>1</v>
      </c>
      <c r="CE75" s="4" t="s">
        <v>1277</v>
      </c>
      <c r="CF75" s="4">
        <f>SUM(CF42:CF74)</f>
        <v>26</v>
      </c>
      <c r="CG75" s="20">
        <f>SUM(CG42:CG74)</f>
        <v>0.99999999999999989</v>
      </c>
    </row>
    <row r="76" spans="1:85" x14ac:dyDescent="0.2">
      <c r="A76" t="s">
        <v>529</v>
      </c>
      <c r="B76" t="s">
        <v>62</v>
      </c>
      <c r="C76" t="s">
        <v>62</v>
      </c>
      <c r="D76">
        <v>1993</v>
      </c>
      <c r="E76" t="s">
        <v>513</v>
      </c>
      <c r="F76" t="s">
        <v>530</v>
      </c>
      <c r="G76" t="s">
        <v>54</v>
      </c>
      <c r="H76" t="s">
        <v>516</v>
      </c>
      <c r="I76" t="s">
        <v>38</v>
      </c>
      <c r="W76" s="5">
        <v>1997</v>
      </c>
      <c r="X76" s="5">
        <f>COUNTIFS($H$3:$H$608,"dan",$D$3:$D$608,"1997")</f>
        <v>1</v>
      </c>
      <c r="Z76" s="5">
        <v>1997</v>
      </c>
      <c r="AA76" s="5">
        <f>COUNTIFS($H$3:$H$608,"eng",$D$3:$D$608,"1997")</f>
        <v>9</v>
      </c>
      <c r="AG76" s="6">
        <v>2000</v>
      </c>
      <c r="AH76" s="6">
        <f>COUNTIFS($D$3:$D$608,"2000", $I$3:$I$608,"Children's literature")</f>
        <v>11</v>
      </c>
      <c r="AJ76" s="6">
        <v>2000</v>
      </c>
      <c r="AK76" s="6">
        <f>COUNTIFS($D$3:$D$608,"2000", $I$3:$I$608,"Afro-Asiatic literatures, Semitic literatures")+COUNTIFS($D$3:$D$608,"2000", $I$3:$I$608,"American poetry in English")+COUNTIFS($D$3:$D$608,"2000", $I$3:$I$608, "Classical Greek epic poetry &amp; fiction")+COUNTIFS($D$3:$D$608,"2000", $I$3:$I$608, "English miscellaneous writings")+COUNTIFS($D$3:$D$608,"2000", $I$3:$I$608,"English poetry")+COUNTIFS($D$3:$D$608,"2000", $I$3:$I$608,"French miscellaneous writings")+COUNTIFS($D$3:$D$608,"2000",$I$3:$I$608,"French poetry")+COUNTIFS($D$3:$D$608,"2000",$I$3:$I$608,"German poetry")+COUNTIFS($D$3:$D$608,"2000",$I$3:$I$608,"Italian poetry")+COUNTIFS($D$3:$D$608,"2000",$I$3:$I$608,"Latin poetry")+COUNTIFS($D$3:$D$608,"2000",$I$3:$I$608,"Portuguese literature")+COUNTIFS($D$3:$D$608,"2000",$I$3:$I$608,"Rhetoric &amp; collections of literature")+COUNTIFS($D$3:$D$608,"2000",$I$3:$I$608,"Spanish poetry")+1+1</f>
        <v>6</v>
      </c>
    </row>
    <row r="77" spans="1:85" x14ac:dyDescent="0.2">
      <c r="A77" t="s">
        <v>529</v>
      </c>
      <c r="B77" t="s">
        <v>4</v>
      </c>
      <c r="C77" t="s">
        <v>4</v>
      </c>
      <c r="D77">
        <v>1994</v>
      </c>
      <c r="E77" t="s">
        <v>513</v>
      </c>
      <c r="F77" t="s">
        <v>530</v>
      </c>
      <c r="G77" t="s">
        <v>54</v>
      </c>
      <c r="H77" t="s">
        <v>516</v>
      </c>
      <c r="I77" t="s">
        <v>38</v>
      </c>
      <c r="W77" s="6">
        <v>1998</v>
      </c>
      <c r="X77" s="6">
        <f>COUNTIFS($H$3:$H$608,"dan",$D$3:$D$608,"1998")</f>
        <v>0</v>
      </c>
      <c r="Z77" s="6">
        <v>1998</v>
      </c>
      <c r="AA77" s="6">
        <f>COUNTIFS($H$3:$H$608,"eng",$D$3:$D$608,"1998")</f>
        <v>11</v>
      </c>
      <c r="AG77" s="5">
        <v>2001</v>
      </c>
      <c r="AH77" s="5">
        <f>COUNTIFS($D$3:$D$608,"2001", $I$3:$I$608,"Children's literature")</f>
        <v>8</v>
      </c>
      <c r="AJ77" s="5">
        <v>2001</v>
      </c>
      <c r="AK77" s="5">
        <f>COUNTIFS($D$3:$D$608,"2001", $I$3:$I$608,"Afro-Asiatic literatures, Semitic literatures")+COUNTIFS($D$3:$D$608,"2001", $I$3:$I$608,"American poetry in English")+COUNTIFS($D$3:$D$608,"2001", $I$3:$I$608, "Classical Greek epic poetry &amp; fiction")+COUNTIFS($D$3:$D$608,"2001", $I$3:$I$608, "English miscellaneous writings")+COUNTIFS($D$3:$D$608,"2001", $I$3:$I$608,"English poetry")+COUNTIFS($D$3:$D$608,"2001", $I$3:$I$608,"French miscellaneous writings")+COUNTIFS($D$3:$D$608,"2001",$I$3:$I$608,"French poetry")+COUNTIFS($D$3:$D$608,"2001",$I$3:$I$608,"German poetry")+COUNTIFS($D$3:$D$608,"2001",$I$3:$I$608,"Italian poetry")+COUNTIFS($D$3:$D$608,"2001",$I$3:$I$608,"Latin poetry")+COUNTIFS($D$3:$D$608,"2001",$I$3:$I$608,"Portuguese literature")+COUNTIFS($D$3:$D$608,"2001",$I$3:$I$608,"Rhetoric &amp; collections of literature")+COUNTIFS($D$3:$D$608,"2001",$I$3:$I$608,"Spanish poetry")</f>
        <v>4</v>
      </c>
    </row>
    <row r="78" spans="1:85" x14ac:dyDescent="0.2">
      <c r="A78" t="s">
        <v>55</v>
      </c>
      <c r="B78" t="s">
        <v>56</v>
      </c>
      <c r="C78" t="s">
        <v>56</v>
      </c>
      <c r="D78">
        <v>1995</v>
      </c>
      <c r="E78" t="s">
        <v>20</v>
      </c>
      <c r="F78" t="s">
        <v>57</v>
      </c>
      <c r="G78" t="s">
        <v>58</v>
      </c>
      <c r="H78" t="s">
        <v>7</v>
      </c>
      <c r="I78" t="s">
        <v>23</v>
      </c>
      <c r="W78" s="5">
        <v>1999</v>
      </c>
      <c r="X78" s="5">
        <f>COUNTIFS($H$3:$H$608,"dan",$D$3:$D$608,"1999")</f>
        <v>2</v>
      </c>
      <c r="Z78" s="5">
        <v>1999</v>
      </c>
      <c r="AA78" s="5">
        <f>COUNTIFS($H$3:$H$608,"eng",$D$3:$D$608,"1999")</f>
        <v>11</v>
      </c>
      <c r="AG78" s="6">
        <v>2002</v>
      </c>
      <c r="AH78" s="6">
        <f>COUNTIFS($D$3:$D$608,"2002", $I$3:$I$608,"Children's literature")</f>
        <v>8</v>
      </c>
      <c r="AJ78" s="6">
        <v>2002</v>
      </c>
      <c r="AK78" s="6">
        <f>COUNTIFS($D$3:$D$608,"2002", $I$3:$I$608,"Afro-Asiatic literatures, Semitic literatures")+COUNTIFS($D$3:$D$608,"2002", $I$3:$I$608,"American poetry in English")+COUNTIFS($D$3:$D$608,"2002", $I$3:$I$608, "Classical Greek epic poetry &amp; fiction")+COUNTIFS($D$3:$D$608,"2002", $I$3:$I$608, "English miscellaneous writings")+COUNTIFS($D$3:$D$608,"2002", $I$3:$I$608,"English poetry")+COUNTIFS($D$3:$D$608,"2002", $I$3:$I$608,"French miscellaneous writings")+COUNTIFS($D$3:$D$608,"2002",$I$3:$I$608,"French poetry")+COUNTIFS($D$3:$D$608,"2002",$I$3:$I$608,"German poetry")+COUNTIFS($D$3:$D$608,"2002",$I$3:$I$608,"Italian poetry")+COUNTIFS($D$3:$D$608,"2002",$I$3:$I$608,"Latin poetry")+COUNTIFS($D$3:$D$608,"2002",$I$3:$I$608,"Portuguese literature")+COUNTIFS($D$3:$D$608,"2002",$I$3:$I$608,"Rhetoric &amp; collections of literature")+COUNTIFS($D$3:$D$608,"2002",$I$3:$I$608,"Spanish poetry")+1</f>
        <v>6</v>
      </c>
    </row>
    <row r="79" spans="1:85" x14ac:dyDescent="0.2">
      <c r="A79" t="s">
        <v>586</v>
      </c>
      <c r="B79" t="s">
        <v>62</v>
      </c>
      <c r="C79" t="s">
        <v>62</v>
      </c>
      <c r="D79">
        <v>1998</v>
      </c>
      <c r="E79" t="s">
        <v>513</v>
      </c>
      <c r="F79" t="s">
        <v>554</v>
      </c>
      <c r="G79" t="s">
        <v>545</v>
      </c>
      <c r="H79" t="s">
        <v>516</v>
      </c>
      <c r="I79" t="s">
        <v>38</v>
      </c>
      <c r="W79" s="6">
        <v>2000</v>
      </c>
      <c r="X79" s="6">
        <f>COUNTIFS($H$3:$H$608,"dan",$D$3:$D$608,"2000")</f>
        <v>1</v>
      </c>
      <c r="Z79" s="6">
        <v>2000</v>
      </c>
      <c r="AA79" s="6">
        <f>COUNTIFS($H$3:$H$608,"eng",$D$3:$D$608,"2000")</f>
        <v>14</v>
      </c>
      <c r="AG79" s="5">
        <v>2003</v>
      </c>
      <c r="AH79" s="5">
        <f>COUNTIFS($D$3:$D$608,"2003", $I$3:$I$608,"Children's literature")</f>
        <v>14</v>
      </c>
      <c r="AJ79" s="5">
        <v>2003</v>
      </c>
      <c r="AK79" s="5">
        <f>COUNTIFS($D$3:$D$608,"2003", $I$3:$I$608,"Afro-Asiatic literatures, Semitic literatures")+COUNTIFS($D$3:$D$608,"2003", $I$3:$I$608,"American poetry in English")+COUNTIFS($D$3:$D$608,"2003", $I$3:$I$608, "Classical Greek epic poetry &amp; fiction")+COUNTIFS($D$3:$D$608,"2003", $I$3:$I$608, "English miscellaneous writings")+COUNTIFS($D$3:$D$608,"2003", $I$3:$I$608,"English poetry")+COUNTIFS($D$3:$D$608,"2003", $I$3:$I$608,"French miscellaneous writings")+COUNTIFS($D$3:$D$608,"2003",$I$3:$I$608,"French poetry")+COUNTIFS($D$3:$D$608,"2003",$I$3:$I$608,"German poetry")+COUNTIFS($D$3:$D$608,"2003",$I$3:$I$608,"Italian poetry")+COUNTIFS($D$3:$D$608,"2003",$I$3:$I$608,"Latin poetry")+COUNTIFS($D$3:$D$608,"2003",$I$3:$I$608,"Portuguese literature")+COUNTIFS($D$3:$D$608,"2003",$I$3:$I$608,"Rhetoric &amp; collections of literature")+COUNTIFS($D$3:$D$608,"2003",$I$3:$I$608,"Spanish poetry")+1</f>
        <v>6</v>
      </c>
    </row>
    <row r="80" spans="1:85" x14ac:dyDescent="0.2">
      <c r="A80" t="s">
        <v>893</v>
      </c>
      <c r="B80" t="s">
        <v>231</v>
      </c>
      <c r="C80" t="s">
        <v>231</v>
      </c>
      <c r="D80">
        <v>2003</v>
      </c>
      <c r="E80" t="s">
        <v>894</v>
      </c>
      <c r="F80" t="s">
        <v>895</v>
      </c>
      <c r="G80" t="s">
        <v>896</v>
      </c>
      <c r="H80" t="s">
        <v>897</v>
      </c>
      <c r="I80" t="s">
        <v>452</v>
      </c>
      <c r="W80" s="5">
        <v>2001</v>
      </c>
      <c r="X80" s="5">
        <f>COUNTIFS($H$3:$H$608,"dan",$D$3:$D$608,"2001")</f>
        <v>0</v>
      </c>
      <c r="Z80" s="5">
        <v>2001</v>
      </c>
      <c r="AA80" s="5">
        <f>COUNTIFS($H$3:$H$608,"eng",$D$3:$D$608,"2001")</f>
        <v>11</v>
      </c>
      <c r="AG80" s="6">
        <v>2004</v>
      </c>
      <c r="AH80" s="6">
        <f>COUNTIFS($D$3:$D$608,"2004", $I$3:$I$608,"Children's literature")</f>
        <v>17</v>
      </c>
      <c r="AJ80" s="6">
        <v>2004</v>
      </c>
      <c r="AK80" s="6">
        <f>COUNTIFS($D$3:$D$608,"2004", $I$3:$I$608,"Afro-Asiatic literatures, Semitic literatures")+COUNTIFS($D$3:$D$608,"2004", $I$3:$I$608,"American poetry in English")+COUNTIFS($D$3:$D$608,"2004", $I$3:$I$608, "Classical Greek epic poetry &amp; fiction")+COUNTIFS($D$3:$D$608,"2004", $I$3:$I$608, "English miscellaneous writings")+COUNTIFS($D$3:$D$608,"2004", $I$3:$I$608,"English poetry")+COUNTIFS($D$3:$D$608,"2004", $I$3:$I$608,"French miscellaneous writings")+COUNTIFS($D$3:$D$608,"2004",$I$3:$I$608,"French poetry")+COUNTIFS($D$3:$D$608,"2004",$I$3:$I$608,"German poetry")+COUNTIFS($D$3:$D$608,"2004",$I$3:$I$608,"Italian poetry")+COUNTIFS($D$3:$D$608,"2004",$I$3:$I$608,"Latin poetry")+COUNTIFS($D$3:$D$608,"2004",$I$3:$I$608,"Portuguese literature")+COUNTIFS($D$3:$D$608,"2004",$I$3:$I$608,"Rhetoric &amp; collections of literature")+COUNTIFS($D$3:$D$608,"2004",$I$3:$I$608,"Spanish poetry")+1</f>
        <v>3</v>
      </c>
    </row>
    <row r="81" spans="1:37" x14ac:dyDescent="0.2">
      <c r="A81" t="s">
        <v>19</v>
      </c>
      <c r="B81" t="s">
        <v>4</v>
      </c>
      <c r="C81" t="s">
        <v>4</v>
      </c>
      <c r="D81">
        <v>2008</v>
      </c>
      <c r="E81" t="s">
        <v>20</v>
      </c>
      <c r="F81" t="s">
        <v>21</v>
      </c>
      <c r="G81" t="s">
        <v>22</v>
      </c>
      <c r="H81" t="s">
        <v>7</v>
      </c>
      <c r="I81" t="s">
        <v>23</v>
      </c>
      <c r="W81" s="6">
        <v>2002</v>
      </c>
      <c r="X81" s="6">
        <f>COUNTIFS($H$3:$H$608,"dan",$D$3:$D$608,"2002")</f>
        <v>2</v>
      </c>
      <c r="Z81" s="6">
        <v>2002</v>
      </c>
      <c r="AA81" s="6">
        <f>COUNTIFS($H$3:$H$608,"eng",$D$3:$D$608,"2002")</f>
        <v>18</v>
      </c>
      <c r="AG81" s="5">
        <v>2005</v>
      </c>
      <c r="AH81" s="5">
        <f>COUNTIFS($D$3:$D$608,"2005", $I$3:$I$608,"Children's literature")</f>
        <v>19</v>
      </c>
      <c r="AJ81" s="5">
        <v>2005</v>
      </c>
      <c r="AK81" s="5">
        <f>COUNTIFS($D$3:$D$608,"2005", $I$3:$I$608,"Afro-Asiatic literatures, Semitic literatures")+COUNTIFS($D$3:$D$608,"2005", $I$3:$I$608,"American poetry in English")+COUNTIFS($D$3:$D$608,"2005", $I$3:$I$608, "Classical Greek epic poetry &amp; fiction")+COUNTIFS($D$3:$D$608,"2005", $I$3:$I$608, "English miscellaneous writings")+COUNTIFS($D$3:$D$608,"2005", $I$3:$I$608,"English poetry")+COUNTIFS($D$3:$D$608,"2005", $I$3:$I$608,"French miscellaneous writings")+COUNTIFS($D$3:$D$608,"2005",$I$3:$I$608,"French poetry")+COUNTIFS($D$3:$D$608,"2005",$I$3:$I$608,"German poetry")+COUNTIFS($D$3:$D$608,"2005",$I$3:$I$608,"Italian poetry")+COUNTIFS($D$3:$D$608,"2005",$I$3:$I$608,"Latin poetry")+COUNTIFS($D$3:$D$608,"2005",$I$3:$I$608,"Portuguese literature")+COUNTIFS($D$3:$D$608,"2005",$I$3:$I$608,"Rhetoric &amp; collections of literature")+COUNTIFS($D$3:$D$608,"2005",$I$3:$I$608,"Spanish poetry")+1+1</f>
        <v>6</v>
      </c>
    </row>
    <row r="82" spans="1:37" x14ac:dyDescent="0.2">
      <c r="A82" t="s">
        <v>1081</v>
      </c>
      <c r="B82" t="s">
        <v>1082</v>
      </c>
      <c r="C82" t="s">
        <v>1082</v>
      </c>
      <c r="D82">
        <v>2009</v>
      </c>
      <c r="E82" t="s">
        <v>1070</v>
      </c>
      <c r="F82" t="s">
        <v>1083</v>
      </c>
      <c r="G82" t="s">
        <v>1066</v>
      </c>
      <c r="H82" t="s">
        <v>1067</v>
      </c>
      <c r="I82" t="s">
        <v>8</v>
      </c>
      <c r="W82" s="5">
        <v>2003</v>
      </c>
      <c r="X82" s="5">
        <f>COUNTIFS($H$3:$H$608,"dan",$D$3:$D$608,"2003")</f>
        <v>2</v>
      </c>
      <c r="Z82" s="5">
        <v>2003</v>
      </c>
      <c r="AA82" s="5">
        <f>COUNTIFS($H$3:$H$608,"eng",$D$3:$D$608,"2003")</f>
        <v>3</v>
      </c>
      <c r="AG82" s="6">
        <v>2006</v>
      </c>
      <c r="AH82" s="6">
        <f>COUNTIFS($D$3:$D$608,"2006", $I$3:$I$608,"Children's literature")</f>
        <v>20</v>
      </c>
      <c r="AJ82" s="6">
        <v>2006</v>
      </c>
      <c r="AK82" s="6">
        <f>COUNTIFS($D$3:$D$608,"2006", $I$3:$I$608,"Afro-Asiatic literatures, Semitic literatures")+COUNTIFS($D$3:$D$608,"2006", $I$3:$I$608,"American poetry in English")+COUNTIFS($D$3:$D$608,"2006", $I$3:$I$608, "Classical Greek epic poetry &amp; fiction")+COUNTIFS($D$3:$D$608,"2006", $I$3:$I$608, "English miscellaneous writings")+COUNTIFS($D$3:$D$608,"2006", $I$3:$I$608,"English poetry")+COUNTIFS($D$3:$D$608,"2006", $I$3:$I$608,"French miscellaneous writings")+COUNTIFS($D$3:$D$608,"2006",$I$3:$I$608,"French poetry")+COUNTIFS($D$3:$D$608,"2006",$I$3:$I$608,"German poetry")+COUNTIFS($D$3:$D$608,"2006",$I$3:$I$608,"Italian poetry")+COUNTIFS($D$3:$D$608,"2006",$I$3:$I$608,"Latin poetry")+COUNTIFS($D$3:$D$608,"2006",$I$3:$I$608,"Portuguese literature")+COUNTIFS($D$3:$D$608,"2006",$I$3:$I$608,"Rhetoric &amp; collections of literature")+COUNTIFS($D$3:$D$608,"2006",$I$3:$I$608,"Spanish poetry")</f>
        <v>0</v>
      </c>
    </row>
    <row r="83" spans="1:37" x14ac:dyDescent="0.2">
      <c r="A83" t="s">
        <v>939</v>
      </c>
      <c r="B83" t="s">
        <v>691</v>
      </c>
      <c r="C83" t="s">
        <v>691</v>
      </c>
      <c r="D83">
        <v>1994</v>
      </c>
      <c r="E83" t="s">
        <v>936</v>
      </c>
      <c r="F83" t="s">
        <v>940</v>
      </c>
      <c r="G83" t="s">
        <v>693</v>
      </c>
      <c r="H83" t="s">
        <v>938</v>
      </c>
      <c r="I83" t="s">
        <v>8</v>
      </c>
      <c r="W83" s="6">
        <v>2004</v>
      </c>
      <c r="X83" s="6">
        <f>COUNTIFS($H$3:$H$608,"dan",$D$3:$D$608,"2004")</f>
        <v>5</v>
      </c>
      <c r="Z83" s="6">
        <v>2004</v>
      </c>
      <c r="AA83" s="6">
        <f>COUNTIFS($H$3:$H$608,"eng",$D$3:$D$608,"2004")</f>
        <v>2</v>
      </c>
      <c r="AG83" s="5">
        <v>2007</v>
      </c>
      <c r="AH83" s="5">
        <f>COUNTIFS($D$3:$D$608,"2007", $I$3:$I$608,"Children's literature")</f>
        <v>21</v>
      </c>
      <c r="AJ83" s="5">
        <v>2007</v>
      </c>
      <c r="AK83" s="5">
        <f>COUNTIFS($D$3:$D$608,"2007", $I$3:$I$608,"Afro-Asiatic literatures, Semitic literatures")+COUNTIFS($D$3:$D$608,"2007", $I$3:$I$608,"American poetry in English")+COUNTIFS($D$3:$D$608,"2007", $I$3:$I$608, "Classical Greek epic poetry &amp; fiction")+COUNTIFS($D$3:$D$608,"2007", $I$3:$I$608, "English miscellaneous writings")+COUNTIFS($D$3:$D$608,"2007", $I$3:$I$608,"English poetry")+COUNTIFS($D$3:$D$608,"2007", $I$3:$I$608,"French miscellaneous writings")+COUNTIFS($D$3:$D$608,"2007",$I$3:$I$608,"French poetry")+COUNTIFS($D$3:$D$608,"2007",$I$3:$I$608,"German poetry")+COUNTIFS($D$3:$D$608,"2007",$I$3:$I$608,"Italian poetry")+COUNTIFS($D$3:$D$608,"2007",$I$3:$I$608,"Latin poetry")+COUNTIFS($D$3:$D$608,"2007",$I$3:$I$608,"Portuguese literature")+COUNTIFS($D$3:$D$608,"2007",$I$3:$I$608,"Rhetoric &amp; collections of literature")+COUNTIFS($D$3:$D$608,"2007",$I$3:$I$608,"Spanish poetry")+1+2</f>
        <v>7</v>
      </c>
    </row>
    <row r="84" spans="1:37" x14ac:dyDescent="0.2">
      <c r="A84" t="s">
        <v>1045</v>
      </c>
      <c r="B84" t="s">
        <v>231</v>
      </c>
      <c r="C84" t="s">
        <v>231</v>
      </c>
      <c r="D84">
        <v>2001</v>
      </c>
      <c r="E84" t="s">
        <v>1010</v>
      </c>
      <c r="F84" t="s">
        <v>1046</v>
      </c>
      <c r="G84" t="s">
        <v>1012</v>
      </c>
      <c r="H84" t="s">
        <v>1008</v>
      </c>
      <c r="I84" t="s">
        <v>1013</v>
      </c>
      <c r="W84" s="5">
        <v>2005</v>
      </c>
      <c r="X84" s="5">
        <f>COUNTIFS($H$3:$H$608,"dan",$D$3:$D$608,"2005")</f>
        <v>8</v>
      </c>
      <c r="Z84" s="5">
        <v>2005</v>
      </c>
      <c r="AA84" s="5">
        <f>COUNTIFS($H$3:$H$608,"eng",$D$3:$D$608,"2005")</f>
        <v>4</v>
      </c>
      <c r="AG84" s="6">
        <v>2008</v>
      </c>
      <c r="AH84" s="6">
        <f>COUNTIFS($D$3:$D$608,"2008", $I$3:$I$608,"Children's literature")</f>
        <v>15</v>
      </c>
      <c r="AJ84" s="6">
        <v>2008</v>
      </c>
      <c r="AK84" s="6">
        <f>COUNTIFS($D$3:$D$608,"2008", $I$3:$I$608,"Afro-Asiatic literatures, Semitic literatures")+COUNTIFS($D$3:$D$608,"2008", $I$3:$I$608,"American poetry in English")+COUNTIFS($D$3:$D$608,"2008", $I$3:$I$608, "Classical Greek epic poetry &amp; fiction")+COUNTIFS($D$3:$D$608,"2008", $I$3:$I$608, "English miscellaneous writings")+COUNTIFS($D$3:$D$608,"2008", $I$3:$I$608,"English poetry")+COUNTIFS($D$3:$D$608,"2008", $I$3:$I$608,"French miscellaneous writings")+COUNTIFS($D$3:$D$608,"2008",$I$3:$I$608,"French poetry")+COUNTIFS($D$3:$D$608,"2008",$I$3:$I$608,"German poetry")+COUNTIFS($D$3:$D$608,"2008",$I$3:$I$608,"Italian poetry")+COUNTIFS($D$3:$D$608,"2008",$I$3:$I$608,"Latin poetry")+COUNTIFS($D$3:$D$608,"2008",$I$3:$I$608,"Portuguese literature")+COUNTIFS($D$3:$D$608,"2008",$I$3:$I$608,"Rhetoric &amp; collections of literature")+COUNTIFS($D$3:$D$608,"2008",$I$3:$I$608,"Spanish poetry")+3</f>
        <v>8</v>
      </c>
    </row>
    <row r="85" spans="1:37" x14ac:dyDescent="0.2">
      <c r="A85" t="s">
        <v>413</v>
      </c>
      <c r="B85" t="s">
        <v>30</v>
      </c>
      <c r="C85" t="s">
        <v>30</v>
      </c>
      <c r="D85">
        <v>2008</v>
      </c>
      <c r="E85" t="s">
        <v>239</v>
      </c>
      <c r="F85" t="s">
        <v>414</v>
      </c>
      <c r="G85" t="s">
        <v>108</v>
      </c>
      <c r="H85" t="s">
        <v>156</v>
      </c>
      <c r="I85" t="s">
        <v>8</v>
      </c>
      <c r="W85" s="6">
        <v>2006</v>
      </c>
      <c r="X85" s="6">
        <f>COUNTIFS($H$3:$H$608,"dan",$D$3:$D$608,"2006")</f>
        <v>3</v>
      </c>
      <c r="Z85" s="6">
        <v>2006</v>
      </c>
      <c r="AA85" s="6">
        <f>COUNTIFS($H$3:$H$608,"eng",$D$3:$D$608,"2006")</f>
        <v>8</v>
      </c>
      <c r="AG85" s="5">
        <v>2009</v>
      </c>
      <c r="AH85" s="5">
        <f>COUNTIFS($D$3:$D$608,"2009", $I$3:$I$608,"Children's literature")</f>
        <v>11</v>
      </c>
      <c r="AJ85" s="5">
        <v>2009</v>
      </c>
      <c r="AK85" s="5">
        <f>COUNTIFS($D$3:$D$608,"2009", $I$3:$I$608,"Afro-Asiatic literatures, Semitic literatures")+COUNTIFS($D$3:$D$608,"2009", $I$3:$I$608,"American poetry in English")+COUNTIFS($D$3:$D$608,"2009", $I$3:$I$608, "Classical Greek epic poetry &amp; fiction")+COUNTIFS($D$3:$D$608,"2009", $I$3:$I$608, "English miscellaneous writings")+COUNTIFS($D$3:$D$608,"2009", $I$3:$I$608,"English poetry")+COUNTIFS($D$3:$D$608,"2009", $I$3:$I$608,"French miscellaneous writings")+COUNTIFS($D$3:$D$608,"2009",$I$3:$I$608,"French poetry")+COUNTIFS($D$3:$D$608,"2009",$I$3:$I$608,"German poetry")+COUNTIFS($D$3:$D$608,"2009",$I$3:$I$608,"Italian poetry")+COUNTIFS($D$3:$D$608,"2009",$I$3:$I$608,"Latin poetry")+COUNTIFS($D$3:$D$608,"2009",$I$3:$I$608,"Portuguese literature")+COUNTIFS($D$3:$D$608,"2009",$I$3:$I$608,"Rhetoric &amp; collections of literature")+COUNTIFS($D$3:$D$608,"2009",$I$3:$I$608,"Spanish poetry")+1</f>
        <v>7</v>
      </c>
    </row>
    <row r="86" spans="1:37" x14ac:dyDescent="0.2">
      <c r="A86" t="s">
        <v>1009</v>
      </c>
      <c r="B86" t="s">
        <v>4</v>
      </c>
      <c r="C86" t="s">
        <v>4</v>
      </c>
      <c r="D86">
        <v>1996</v>
      </c>
      <c r="E86" t="s">
        <v>1010</v>
      </c>
      <c r="F86" t="s">
        <v>1011</v>
      </c>
      <c r="G86" t="s">
        <v>1012</v>
      </c>
      <c r="H86" t="s">
        <v>1008</v>
      </c>
      <c r="I86" t="s">
        <v>1013</v>
      </c>
      <c r="W86" s="5">
        <v>2007</v>
      </c>
      <c r="X86" s="5">
        <f>COUNTIFS($H$3:$H$608,"dan",$D$3:$D$608,"2007")</f>
        <v>2</v>
      </c>
      <c r="Z86" s="5">
        <v>2007</v>
      </c>
      <c r="AA86" s="5">
        <f>COUNTIFS($H$3:$H$608,"eng",$D$3:$D$608,"2007")</f>
        <v>11</v>
      </c>
      <c r="AG86" s="6">
        <v>2010</v>
      </c>
      <c r="AH86" s="6">
        <f>COUNTIFS($D$3:$D$608,"2010", $I$3:$I$608,"Children's literature")</f>
        <v>15</v>
      </c>
      <c r="AJ86" s="6">
        <v>2010</v>
      </c>
      <c r="AK86" s="6">
        <f>COUNTIFS($D$3:$D$608,"2010", $I$3:$I$608,"Afro-Asiatic literatures, Semitic literatures")+COUNTIFS($D$3:$D$608,"2010", $I$3:$I$608,"American poetry in English")+COUNTIFS($D$3:$D$608,"2010", $I$3:$I$608, "Classical Greek epic poetry &amp; fiction")+COUNTIFS($D$3:$D$608,"2010", $I$3:$I$608, "English miscellaneous writings")+COUNTIFS($D$3:$D$608,"2010", $I$3:$I$608,"English poetry")+COUNTIFS($D$3:$D$608,"2010", $I$3:$I$608,"French miscellaneous writings")+COUNTIFS($D$3:$D$608,"2010",$I$3:$I$608,"French poetry")+COUNTIFS($D$3:$D$608,"2010",$I$3:$I$608,"German poetry")+COUNTIFS($D$3:$D$608,"2010",$I$3:$I$608,"Italian poetry")+COUNTIFS($D$3:$D$608,"2010",$I$3:$I$608,"Latin poetry")+COUNTIFS($D$3:$D$608,"2010",$I$3:$I$608,"Portuguese literature")+COUNTIFS($D$3:$D$608,"2010",$I$3:$I$608,"Rhetoric &amp; collections of literature")+COUNTIFS($D$3:$D$608,"2010",$I$3:$I$608,"Spanish poetry")</f>
        <v>1</v>
      </c>
    </row>
    <row r="87" spans="1:37" x14ac:dyDescent="0.2">
      <c r="A87" t="s">
        <v>267</v>
      </c>
      <c r="B87" t="s">
        <v>62</v>
      </c>
      <c r="C87" t="s">
        <v>62</v>
      </c>
      <c r="D87">
        <v>2000</v>
      </c>
      <c r="E87" t="s">
        <v>220</v>
      </c>
      <c r="F87" t="s">
        <v>268</v>
      </c>
      <c r="G87" t="s">
        <v>207</v>
      </c>
      <c r="H87" t="s">
        <v>156</v>
      </c>
      <c r="I87" t="s">
        <v>38</v>
      </c>
      <c r="W87" s="6">
        <v>2008</v>
      </c>
      <c r="X87" s="6">
        <f>COUNTIFS($H$3:$H$608,"dan",$D$3:$D$608,"2008")</f>
        <v>0</v>
      </c>
      <c r="Z87" s="6">
        <v>2008</v>
      </c>
      <c r="AA87" s="6">
        <f>COUNTIFS($H$3:$H$608,"eng",$D$3:$D$608,"2008")</f>
        <v>15</v>
      </c>
      <c r="AG87" s="4" t="s">
        <v>1310</v>
      </c>
      <c r="AH87" s="4">
        <f>SUM(AH66:AH86)</f>
        <v>246</v>
      </c>
      <c r="AJ87" s="4" t="s">
        <v>1310</v>
      </c>
      <c r="AK87" s="4">
        <f>SUM(AK66:AK86)</f>
        <v>89</v>
      </c>
    </row>
    <row r="88" spans="1:37" x14ac:dyDescent="0.2">
      <c r="A88" t="s">
        <v>271</v>
      </c>
      <c r="B88" t="s">
        <v>272</v>
      </c>
      <c r="C88" t="s">
        <v>272</v>
      </c>
      <c r="D88">
        <v>2000</v>
      </c>
      <c r="E88" t="s">
        <v>220</v>
      </c>
      <c r="F88" t="s">
        <v>268</v>
      </c>
      <c r="G88" t="s">
        <v>46</v>
      </c>
      <c r="H88" t="s">
        <v>156</v>
      </c>
      <c r="I88" t="s">
        <v>38</v>
      </c>
      <c r="W88" s="5">
        <v>2009</v>
      </c>
      <c r="X88" s="5">
        <f>COUNTIFS($H$3:$H$608,"dan",$D$3:$D$608,"2009")</f>
        <v>1</v>
      </c>
      <c r="Z88" s="5">
        <v>2009</v>
      </c>
      <c r="AA88" s="5">
        <f>COUNTIFS($H$3:$H$608,"eng",$D$3:$D$608,"2009")</f>
        <v>9</v>
      </c>
    </row>
    <row r="89" spans="1:37" x14ac:dyDescent="0.2">
      <c r="A89" t="s">
        <v>843</v>
      </c>
      <c r="B89" t="s">
        <v>4</v>
      </c>
      <c r="C89" t="s">
        <v>4</v>
      </c>
      <c r="D89">
        <v>1998</v>
      </c>
      <c r="E89" t="s">
        <v>844</v>
      </c>
      <c r="F89" t="s">
        <v>1223</v>
      </c>
      <c r="G89" t="s">
        <v>845</v>
      </c>
      <c r="H89" t="s">
        <v>836</v>
      </c>
      <c r="I89" t="s">
        <v>8</v>
      </c>
      <c r="W89" s="6">
        <v>2010</v>
      </c>
      <c r="X89" s="6">
        <f>COUNTIFS($H$3:$H$608,"dan",$D$3:$D$608,"2010")</f>
        <v>4</v>
      </c>
      <c r="Z89" s="6">
        <v>2010</v>
      </c>
      <c r="AA89" s="6">
        <f>COUNTIFS($H$3:$H$608,"eng",$D$3:$D$608,"2010")</f>
        <v>6</v>
      </c>
      <c r="AG89" s="37" t="s">
        <v>38</v>
      </c>
      <c r="AH89" s="37"/>
      <c r="AJ89" s="37" t="s">
        <v>1265</v>
      </c>
      <c r="AK89" s="37"/>
    </row>
    <row r="90" spans="1:37" x14ac:dyDescent="0.2">
      <c r="A90" t="s">
        <v>1062</v>
      </c>
      <c r="B90" t="s">
        <v>280</v>
      </c>
      <c r="C90" t="s">
        <v>280</v>
      </c>
      <c r="D90">
        <v>2002</v>
      </c>
      <c r="E90" t="s">
        <v>1059</v>
      </c>
      <c r="F90" t="s">
        <v>1249</v>
      </c>
      <c r="G90" t="s">
        <v>22</v>
      </c>
      <c r="H90" t="s">
        <v>1061</v>
      </c>
      <c r="I90" t="s">
        <v>452</v>
      </c>
      <c r="W90" s="4" t="s">
        <v>1310</v>
      </c>
      <c r="X90" s="4">
        <f>SUM(X69:X89)</f>
        <v>41</v>
      </c>
      <c r="Z90" s="4" t="s">
        <v>1310</v>
      </c>
      <c r="AA90" s="4">
        <f>SUM(AA69:AA89)</f>
        <v>133</v>
      </c>
      <c r="AG90" s="7" t="s">
        <v>1275</v>
      </c>
      <c r="AH90" s="7" t="s">
        <v>1340</v>
      </c>
      <c r="AJ90" s="7" t="s">
        <v>1275</v>
      </c>
      <c r="AK90" s="7" t="s">
        <v>1340</v>
      </c>
    </row>
    <row r="91" spans="1:37" x14ac:dyDescent="0.2">
      <c r="A91" t="s">
        <v>1159</v>
      </c>
      <c r="B91" t="s">
        <v>4</v>
      </c>
      <c r="C91" t="s">
        <v>4</v>
      </c>
      <c r="D91">
        <v>2003</v>
      </c>
      <c r="E91" t="s">
        <v>1157</v>
      </c>
      <c r="F91" t="s">
        <v>356</v>
      </c>
      <c r="G91" t="s">
        <v>95</v>
      </c>
      <c r="H91" t="s">
        <v>1158</v>
      </c>
      <c r="I91" t="s">
        <v>8</v>
      </c>
      <c r="AG91" s="6">
        <v>1990</v>
      </c>
      <c r="AH91" s="6">
        <f>COUNTIFS($D$3:$D$608,"1990", $I$3:$I$608,"Drama")+COUNTIFS($D$3:$D$608,"1990", $I$3:$I$608,"Literatures of East &amp; Southeast Asia")+COUNTIFS($D$3:$D$608,"1990", $I$3:$I$608,"Occitan &amp; Catalan literatures")+4</f>
        <v>5</v>
      </c>
      <c r="AJ91" s="6">
        <v>1990</v>
      </c>
      <c r="AK91" s="6">
        <f>COUNTIFS($D$3:$D$608,"1990", $I$3:$I$608,"Altaic, Uralic, Hyperborean &amp; Dravidian")+COUNTIFS($D$3:$D$608,"1990", $I$3:$I$608,"American fiction in English")+COUNTIFS($D$3:$D$608,"1990", $I$3:$I$608,"English fiction")+COUNTIFS($D$3:$D$608,"1990", $I$3:$I$608,"French fiction")+COUNTIFS($D$3:$D$608,"1990", $I$3:$I$608,"German fiction")+COUNTIFS($D$3:$D$608,"1990", $I$3:$I$608,"Italian fiction")+COUNTIFS($D$3:$D$608,"1990", $I$3:$I$608,"Spanish fiction")</f>
        <v>0</v>
      </c>
    </row>
    <row r="92" spans="1:37" x14ac:dyDescent="0.2">
      <c r="A92" t="s">
        <v>1220</v>
      </c>
      <c r="B92" t="s">
        <v>94</v>
      </c>
      <c r="C92" t="s">
        <v>94</v>
      </c>
      <c r="D92">
        <v>1993</v>
      </c>
      <c r="E92" t="s">
        <v>1157</v>
      </c>
      <c r="F92" t="s">
        <v>356</v>
      </c>
      <c r="G92" t="s">
        <v>95</v>
      </c>
      <c r="H92" t="s">
        <v>1158</v>
      </c>
      <c r="I92" t="s">
        <v>8</v>
      </c>
      <c r="W92" s="37" t="s">
        <v>1288</v>
      </c>
      <c r="X92" s="37"/>
      <c r="Z92" s="37" t="s">
        <v>1289</v>
      </c>
      <c r="AA92" s="37"/>
      <c r="AG92" s="5">
        <v>1991</v>
      </c>
      <c r="AH92" s="5">
        <f>COUNTIFS($D$3:$D$608,"1991", $I$3:$I$608,"Drama")+COUNTIFS($D$3:$D$608,"1991", $I$3:$I$608,"Literatures of East &amp; Southeast Asia")+COUNTIFS($D$3:$D$608,"1991", $I$3:$I$608,"Occitan &amp; Catalan literatures")+1+3</f>
        <v>12</v>
      </c>
      <c r="AJ92" s="5">
        <v>1991</v>
      </c>
      <c r="AK92" s="5">
        <f>COUNTIFS($D$3:$D$608,"1991", $I$3:$I$608,"Altaic, Uralic, Hyperborean &amp; Dravidian")+COUNTIFS($D$3:$D$608,"1991", $I$3:$I$608,"American fiction in English")+COUNTIFS($D$3:$D$608,"1991", $I$3:$I$608,"English fiction")+COUNTIFS($D$3:$D$608,"1991", $I$3:$I$608,"French fiction")+COUNTIFS($D$3:$D$608,"1991", $I$3:$I$608,"German fiction")+COUNTIFS($D$3:$D$608,"1991", $I$3:$I$608,"Italian fiction")+COUNTIFS($D$3:$D$608,"1991", $I$3:$I$608,"Spanish fiction")</f>
        <v>1</v>
      </c>
    </row>
    <row r="93" spans="1:37" x14ac:dyDescent="0.2">
      <c r="A93" t="s">
        <v>1187</v>
      </c>
      <c r="B93" t="s">
        <v>261</v>
      </c>
      <c r="C93" t="s">
        <v>261</v>
      </c>
      <c r="D93">
        <v>2008</v>
      </c>
      <c r="E93" t="s">
        <v>1180</v>
      </c>
      <c r="F93" t="s">
        <v>1188</v>
      </c>
      <c r="G93" t="s">
        <v>353</v>
      </c>
      <c r="H93" t="s">
        <v>1158</v>
      </c>
      <c r="I93" t="s">
        <v>463</v>
      </c>
      <c r="W93" s="7" t="s">
        <v>1275</v>
      </c>
      <c r="X93" s="7" t="s">
        <v>1340</v>
      </c>
      <c r="Z93" s="7" t="s">
        <v>1275</v>
      </c>
      <c r="AA93" s="7" t="s">
        <v>1340</v>
      </c>
      <c r="AG93" s="6">
        <v>1992</v>
      </c>
      <c r="AH93" s="6">
        <f>COUNTIFS($D$3:$D$608,"1992", $I$3:$I$608,"Drama")+COUNTIFS($D$3:$D$608,"1992", $I$3:$I$608,"Literatures of East &amp; Southeast Asia")+COUNTIFS($D$3:$D$608,"1992", $I$3:$I$608,"Occitan &amp; Catalan literatures")+1</f>
        <v>6</v>
      </c>
      <c r="AJ93" s="6">
        <v>1992</v>
      </c>
      <c r="AK93" s="6">
        <f>COUNTIFS($D$3:$D$608,"1992", $I$3:$I$608,"Altaic, Uralic, Hyperborean &amp; Dravidian")+COUNTIFS($D$3:$D$608,"1992", $I$3:$I$608,"American fiction in English")+COUNTIFS($D$3:$D$608,"1992", $I$3:$I$608,"English fiction")+COUNTIFS($D$3:$D$608,"1992", $I$3:$I$608,"French fiction")+COUNTIFS($D$3:$D$608,"1992", $I$3:$I$608,"German fiction")+COUNTIFS($D$3:$D$608,"1992", $I$3:$I$608,"Italian fiction")+COUNTIFS($D$3:$D$608,"1992", $I$3:$I$608,"Spanish fiction")</f>
        <v>0</v>
      </c>
    </row>
    <row r="94" spans="1:37" x14ac:dyDescent="0.2">
      <c r="A94" t="s">
        <v>588</v>
      </c>
      <c r="B94" t="s">
        <v>4</v>
      </c>
      <c r="C94" t="s">
        <v>4</v>
      </c>
      <c r="D94">
        <v>2010</v>
      </c>
      <c r="E94" t="s">
        <v>518</v>
      </c>
      <c r="F94" t="s">
        <v>526</v>
      </c>
      <c r="G94" t="s">
        <v>41</v>
      </c>
      <c r="H94" t="s">
        <v>516</v>
      </c>
      <c r="I94" t="s">
        <v>520</v>
      </c>
      <c r="W94" s="6">
        <v>1990</v>
      </c>
      <c r="X94" s="6">
        <f>COUNTIFS($H$3:$H$608,"fre",$D$3:$D$608,"1990")</f>
        <v>0</v>
      </c>
      <c r="Z94" s="6">
        <v>1990</v>
      </c>
      <c r="AA94" s="6">
        <f>COUNTIFS($H$3:$H$608,"ger",$D$3:$D$608,"1990")</f>
        <v>0</v>
      </c>
      <c r="AG94" s="5">
        <v>1993</v>
      </c>
      <c r="AH94" s="5">
        <f>COUNTIFS($D$3:$D$608,"1993", $I$3:$I$608,"Drama")+COUNTIFS($D$3:$D$608,"1993", $I$3:$I$608,"Literatures of East &amp; Southeast Asia")+COUNTIFS($D$3:$D$608,"1993", $I$3:$I$608,"Occitan &amp; Catalan literatures")+1+2</f>
        <v>10</v>
      </c>
      <c r="AJ94" s="5">
        <v>1993</v>
      </c>
      <c r="AK94" s="5">
        <f>COUNTIFS($D$3:$D$608,"1993", $I$3:$I$608,"Altaic, Uralic, Hyperborean &amp; Dravidian")+COUNTIFS($D$3:$D$608,"1993", $I$3:$I$608,"American fiction in English")+COUNTIFS($D$3:$D$608,"1993", $I$3:$I$608,"English fiction")+COUNTIFS($D$3:$D$608,"1993", $I$3:$I$608,"French fiction")+COUNTIFS($D$3:$D$608,"1993", $I$3:$I$608,"German fiction")+COUNTIFS($D$3:$D$608,"1993", $I$3:$I$608,"Italian fiction")+COUNTIFS($D$3:$D$608,"1993", $I$3:$I$608,"Spanish fiction")+1</f>
        <v>1</v>
      </c>
    </row>
    <row r="95" spans="1:37" x14ac:dyDescent="0.2">
      <c r="A95" t="s">
        <v>1014</v>
      </c>
      <c r="B95" t="s">
        <v>4</v>
      </c>
      <c r="C95" t="s">
        <v>4</v>
      </c>
      <c r="D95">
        <v>1994</v>
      </c>
      <c r="E95" t="s">
        <v>1015</v>
      </c>
      <c r="F95" t="s">
        <v>1016</v>
      </c>
      <c r="G95" t="s">
        <v>124</v>
      </c>
      <c r="H95" t="s">
        <v>1008</v>
      </c>
      <c r="I95" t="s">
        <v>1018</v>
      </c>
      <c r="W95" s="5">
        <v>1991</v>
      </c>
      <c r="X95" s="5">
        <f>COUNTIFS($H$3:$H$608,"fre",$D$3:$D$608,"1991")</f>
        <v>6</v>
      </c>
      <c r="Z95" s="5">
        <v>1991</v>
      </c>
      <c r="AA95" s="5">
        <f>COUNTIFS($H$3:$H$608,"ger",$D$3:$D$608,"1991")</f>
        <v>3</v>
      </c>
      <c r="AG95" s="6">
        <v>1994</v>
      </c>
      <c r="AH95" s="6">
        <f>COUNTIFS($D$3:$D$608,"1994", $I$3:$I$608,"Drama")+COUNTIFS($D$3:$D$608,"1994", $I$3:$I$608,"Literatures of East &amp; Southeast Asia")+COUNTIFS($D$3:$D$608,"1994", $I$3:$I$608,"Occitan &amp; Catalan literatures")+1+3</f>
        <v>7</v>
      </c>
      <c r="AJ95" s="6">
        <v>1994</v>
      </c>
      <c r="AK95" s="6">
        <f>COUNTIFS($D$3:$D$608,"1994", $I$3:$I$608,"Altaic, Uralic, Hyperborean &amp; Dravidian")+COUNTIFS($D$3:$D$608,"1994", $I$3:$I$608,"American fiction in English")+COUNTIFS($D$3:$D$608,"1994", $I$3:$I$608,"English fiction")+COUNTIFS($D$3:$D$608,"1994", $I$3:$I$608,"French fiction")+COUNTIFS($D$3:$D$608,"1994", $I$3:$I$608,"German fiction")+COUNTIFS($D$3:$D$608,"1994", $I$3:$I$608,"Italian fiction")+COUNTIFS($D$3:$D$608,"1994", $I$3:$I$608,"Spanish fiction")+1</f>
        <v>5</v>
      </c>
    </row>
    <row r="96" spans="1:37" x14ac:dyDescent="0.2">
      <c r="A96" t="s">
        <v>1014</v>
      </c>
      <c r="B96" t="s">
        <v>4</v>
      </c>
      <c r="C96" t="s">
        <v>4</v>
      </c>
      <c r="D96">
        <v>1999</v>
      </c>
      <c r="E96" t="s">
        <v>1015</v>
      </c>
      <c r="F96" t="s">
        <v>1016</v>
      </c>
      <c r="G96" t="s">
        <v>124</v>
      </c>
      <c r="H96" t="s">
        <v>1008</v>
      </c>
      <c r="I96" t="s">
        <v>1018</v>
      </c>
      <c r="W96" s="6">
        <v>1992</v>
      </c>
      <c r="X96" s="6">
        <f>COUNTIFS($H$3:$H$608,"fre",$D$3:$D$608,"1992")</f>
        <v>3</v>
      </c>
      <c r="Z96" s="6">
        <v>1992</v>
      </c>
      <c r="AA96" s="6">
        <f>COUNTIFS($H$3:$H$608,"ger",$D$3:$D$608,"1992")</f>
        <v>2</v>
      </c>
      <c r="AG96" s="5">
        <v>1995</v>
      </c>
      <c r="AH96" s="5">
        <f>COUNTIFS($D$3:$D$608,"1995", $I$3:$I$608,"Drama")+COUNTIFS($D$3:$D$608,"1995", $I$3:$I$608,"Literatures of East &amp; Southeast Asia")+COUNTIFS($D$3:$D$608,"1995", $I$3:$I$608,"Occitan &amp; Catalan literatures")+1+1</f>
        <v>4</v>
      </c>
      <c r="AJ96" s="5">
        <v>1995</v>
      </c>
      <c r="AK96" s="5">
        <f>COUNTIFS($D$3:$D$608,"1995", $I$3:$I$608,"Altaic, Uralic, Hyperborean &amp; Dravidian")+COUNTIFS($D$3:$D$608,"1995", $I$3:$I$608,"American fiction in English")+COUNTIFS($D$3:$D$608,"1995", $I$3:$I$608,"English fiction")+COUNTIFS($D$3:$D$608,"1995", $I$3:$I$608,"French fiction")+COUNTIFS($D$3:$D$608,"1995", $I$3:$I$608,"German fiction")+COUNTIFS($D$3:$D$608,"1995", $I$3:$I$608,"Italian fiction")+COUNTIFS($D$3:$D$608,"1995", $I$3:$I$608,"Spanish fiction")</f>
        <v>1</v>
      </c>
    </row>
    <row r="97" spans="1:37" x14ac:dyDescent="0.2">
      <c r="A97" t="s">
        <v>1014</v>
      </c>
      <c r="B97" t="s">
        <v>17</v>
      </c>
      <c r="C97" t="s">
        <v>17</v>
      </c>
      <c r="D97">
        <v>2009</v>
      </c>
      <c r="E97" t="s">
        <v>1015</v>
      </c>
      <c r="F97" t="s">
        <v>1016</v>
      </c>
      <c r="G97" t="s">
        <v>1017</v>
      </c>
      <c r="H97" t="s">
        <v>1008</v>
      </c>
      <c r="I97" t="s">
        <v>1018</v>
      </c>
      <c r="W97" s="5">
        <v>1993</v>
      </c>
      <c r="X97" s="5">
        <f>COUNTIFS($H$3:$H$608,"fre",$D$3:$D$608,"1993")</f>
        <v>4</v>
      </c>
      <c r="Z97" s="5">
        <v>1993</v>
      </c>
      <c r="AA97" s="5">
        <f>COUNTIFS($H$3:$H$608,"ger",$D$3:$D$608,"1993")</f>
        <v>2</v>
      </c>
      <c r="AG97" s="6">
        <v>1996</v>
      </c>
      <c r="AH97" s="6">
        <f>COUNTIFS($D$3:$D$608,"1996", $I$3:$I$608,"Drama")+COUNTIFS($D$3:$D$608,"1996", $I$3:$I$608,"Literatures of East &amp; Southeast Asia")+COUNTIFS($D$3:$D$608,"1996", $I$3:$I$608,"Occitan &amp; Catalan literatures")+3</f>
        <v>8</v>
      </c>
      <c r="AJ97" s="6">
        <v>1996</v>
      </c>
      <c r="AK97" s="6">
        <f>COUNTIFS($D$3:$D$608,"1996", $I$3:$I$608,"Altaic, Uralic, Hyperborean &amp; Dravidian")+COUNTIFS($D$3:$D$608,"1996", $I$3:$I$608,"American fiction in English")+COUNTIFS($D$3:$D$608,"1996", $I$3:$I$608,"English fiction")+COUNTIFS($D$3:$D$608,"1996", $I$3:$I$608,"French fiction")+COUNTIFS($D$3:$D$608,"1996", $I$3:$I$608,"German fiction")+COUNTIFS($D$3:$D$608,"1996", $I$3:$I$608,"Italian fiction")+COUNTIFS($D$3:$D$608,"1996", $I$3:$I$608,"Spanish fiction")</f>
        <v>1</v>
      </c>
    </row>
    <row r="98" spans="1:37" x14ac:dyDescent="0.2">
      <c r="A98" t="s">
        <v>1025</v>
      </c>
      <c r="B98" t="s">
        <v>231</v>
      </c>
      <c r="C98" t="s">
        <v>231</v>
      </c>
      <c r="D98">
        <v>2000</v>
      </c>
      <c r="E98" t="s">
        <v>1015</v>
      </c>
      <c r="F98" t="s">
        <v>1016</v>
      </c>
      <c r="G98" t="s">
        <v>1012</v>
      </c>
      <c r="H98" t="s">
        <v>1008</v>
      </c>
      <c r="I98" t="s">
        <v>1018</v>
      </c>
      <c r="W98" s="6">
        <v>1994</v>
      </c>
      <c r="X98" s="6">
        <f>COUNTIFS($H$3:$H$608,"fre",$D$3:$D$608,"1994")</f>
        <v>3</v>
      </c>
      <c r="Z98" s="6">
        <v>1994</v>
      </c>
      <c r="AA98" s="6">
        <f>COUNTIFS($H$3:$H$608,"ger",$D$3:$D$608,"1994")</f>
        <v>2</v>
      </c>
      <c r="AG98" s="5">
        <v>1997</v>
      </c>
      <c r="AH98" s="5">
        <f>COUNTIFS($D$3:$D$608,"1997", $I$3:$I$608,"Drama")+COUNTIFS($D$3:$D$608,"1997", $I$3:$I$608,"Literatures of East &amp; Southeast Asia")+COUNTIFS($D$3:$D$608,"1997", $I$3:$I$608,"Occitan &amp; Catalan literatures")+1+1</f>
        <v>10</v>
      </c>
      <c r="AJ98" s="5">
        <v>1997</v>
      </c>
      <c r="AK98" s="5">
        <f>COUNTIFS($D$3:$D$608,"1997", $I$3:$I$608,"Altaic, Uralic, Hyperborean &amp; Dravidian")+COUNTIFS($D$3:$D$608,"1997", $I$3:$I$608,"American fiction in English")+COUNTIFS($D$3:$D$608,"1997", $I$3:$I$608,"English fiction")+COUNTIFS($D$3:$D$608,"1997", $I$3:$I$608,"French fiction")+COUNTIFS($D$3:$D$608,"1997", $I$3:$I$608,"German fiction")+COUNTIFS($D$3:$D$608,"1997", $I$3:$I$608,"Italian fiction")+COUNTIFS($D$3:$D$608,"1997", $I$3:$I$608,"Spanish fiction")+1</f>
        <v>3</v>
      </c>
    </row>
    <row r="99" spans="1:37" x14ac:dyDescent="0.2">
      <c r="A99" t="s">
        <v>1025</v>
      </c>
      <c r="B99" t="s">
        <v>231</v>
      </c>
      <c r="C99" t="s">
        <v>231</v>
      </c>
      <c r="D99">
        <v>2005</v>
      </c>
      <c r="E99" t="s">
        <v>1015</v>
      </c>
      <c r="F99" t="s">
        <v>1016</v>
      </c>
      <c r="G99" t="s">
        <v>1012</v>
      </c>
      <c r="H99" t="s">
        <v>1008</v>
      </c>
      <c r="I99" t="s">
        <v>1018</v>
      </c>
      <c r="W99" s="5">
        <v>1995</v>
      </c>
      <c r="X99" s="5">
        <f>COUNTIFS($H$3:$H$608,"fre",$D$3:$D$608,"1995")</f>
        <v>0</v>
      </c>
      <c r="Z99" s="5">
        <v>1995</v>
      </c>
      <c r="AA99" s="5">
        <f>COUNTIFS($H$3:$H$608,"ger",$D$3:$D$608,"1995")</f>
        <v>3</v>
      </c>
      <c r="AG99" s="6">
        <v>1998</v>
      </c>
      <c r="AH99" s="6">
        <f>COUNTIFS($D$3:$D$608,"1998", $I$3:$I$608,"Drama")+COUNTIFS($D$3:$D$608,"1998", $I$3:$I$608,"Literatures of East &amp; Southeast Asia")+COUNTIFS($D$3:$D$608,"1998", $I$3:$I$608,"Occitan &amp; Catalan literatures")+2</f>
        <v>18</v>
      </c>
      <c r="AJ99" s="6">
        <v>1998</v>
      </c>
      <c r="AK99" s="6">
        <f>COUNTIFS($D$3:$D$608,"1998", $I$3:$I$608,"Altaic, Uralic, Hyperborean &amp; Dravidian")+COUNTIFS($D$3:$D$608,"1998", $I$3:$I$608,"American fiction in English")+COUNTIFS($D$3:$D$608,"1998", $I$3:$I$608,"English fiction")+COUNTIFS($D$3:$D$608,"1998", $I$3:$I$608,"French fiction")+COUNTIFS($D$3:$D$608,"1998", $I$3:$I$608,"German fiction")+COUNTIFS($D$3:$D$608,"1998", $I$3:$I$608,"Italian fiction")+COUNTIFS($D$3:$D$608,"1998", $I$3:$I$608,"Spanish fiction")</f>
        <v>0</v>
      </c>
    </row>
    <row r="100" spans="1:37" x14ac:dyDescent="0.2">
      <c r="A100" t="s">
        <v>720</v>
      </c>
      <c r="B100" t="s">
        <v>283</v>
      </c>
      <c r="C100" t="s">
        <v>152</v>
      </c>
      <c r="D100">
        <v>2003</v>
      </c>
      <c r="E100" t="s">
        <v>641</v>
      </c>
      <c r="F100" t="s">
        <v>664</v>
      </c>
      <c r="G100" t="s">
        <v>665</v>
      </c>
      <c r="H100" t="s">
        <v>639</v>
      </c>
      <c r="I100" t="s">
        <v>8</v>
      </c>
      <c r="W100" s="6">
        <v>1996</v>
      </c>
      <c r="X100" s="6">
        <f>COUNTIFS($H$3:$H$608,"fre",$D$3:$D$608,"1996")</f>
        <v>3</v>
      </c>
      <c r="Z100" s="6">
        <v>1996</v>
      </c>
      <c r="AA100" s="6">
        <f>COUNTIFS($H$3:$H$608,"ger",$D$3:$D$608,"1996")</f>
        <v>3</v>
      </c>
      <c r="AG100" s="5">
        <v>1999</v>
      </c>
      <c r="AH100" s="5">
        <f>COUNTIFS($D$3:$D$608,"1999", $I$3:$I$608,"Drama")+COUNTIFS($D$3:$D$608,"1999", $I$3:$I$608,"Literatures of East &amp; Southeast Asia")+COUNTIFS($D$3:$D$608,"1999", $I$3:$I$608,"Occitan &amp; Catalan literatures")+2</f>
        <v>11</v>
      </c>
      <c r="AJ100" s="5">
        <v>1999</v>
      </c>
      <c r="AK100" s="5">
        <f>COUNTIFS($D$3:$D$608,"1999", $I$3:$I$608,"Altaic, Uralic, Hyperborean &amp; Dravidian")+COUNTIFS($D$3:$D$608,"1999", $I$3:$I$608,"American fiction in English")+COUNTIFS($D$3:$D$608,"1999", $I$3:$I$608,"English fiction")+COUNTIFS($D$3:$D$608,"1999", $I$3:$I$608,"French fiction")+COUNTIFS($D$3:$D$608,"1999", $I$3:$I$608,"German fiction")+COUNTIFS($D$3:$D$608,"1999", $I$3:$I$608,"Italian fiction")+COUNTIFS($D$3:$D$608,"1999", $I$3:$I$608,"Spanish fiction")</f>
        <v>1</v>
      </c>
    </row>
    <row r="101" spans="1:37" x14ac:dyDescent="0.2">
      <c r="A101" t="s">
        <v>282</v>
      </c>
      <c r="B101" t="s">
        <v>283</v>
      </c>
      <c r="C101" t="s">
        <v>152</v>
      </c>
      <c r="D101">
        <v>2006</v>
      </c>
      <c r="E101" t="s">
        <v>239</v>
      </c>
      <c r="F101" t="s">
        <v>284</v>
      </c>
      <c r="G101" t="s">
        <v>285</v>
      </c>
      <c r="H101" t="s">
        <v>156</v>
      </c>
      <c r="I101" t="s">
        <v>8</v>
      </c>
      <c r="W101" s="5">
        <v>1997</v>
      </c>
      <c r="X101" s="5">
        <f>COUNTIFS($H$3:$H$608,"fre",$D$3:$D$608,"1997")</f>
        <v>3</v>
      </c>
      <c r="Z101" s="5">
        <v>1997</v>
      </c>
      <c r="AA101" s="5">
        <f>COUNTIFS($H$3:$H$608,"ger",$D$3:$D$608,"1997")</f>
        <v>4</v>
      </c>
      <c r="AG101" s="6">
        <v>2000</v>
      </c>
      <c r="AH101" s="6">
        <f>COUNTIFS($D$3:$D$608,"2000", $I$3:$I$608,"Drama")+COUNTIFS($D$3:$D$608,"2000", $I$3:$I$608,"Literatures of East &amp; Southeast Asia")+COUNTIFS($D$3:$D$608,"2000", $I$3:$I$608,"Occitan &amp; Catalan literatures")+6</f>
        <v>19</v>
      </c>
      <c r="AJ101" s="6">
        <v>2000</v>
      </c>
      <c r="AK101" s="6">
        <f>COUNTIFS($D$3:$D$608,"2000", $I$3:$I$608,"Altaic, Uralic, Hyperborean &amp; Dravidian")+COUNTIFS($D$3:$D$608,"2000", $I$3:$I$608,"American fiction in English")+COUNTIFS($D$3:$D$608,"2000", $I$3:$I$608,"English fiction")+COUNTIFS($D$3:$D$608,"2000", $I$3:$I$608,"French fiction")+COUNTIFS($D$3:$D$608,"2000", $I$3:$I$608,"German fiction")+COUNTIFS($D$3:$D$608,"2000", $I$3:$I$608,"Italian fiction")+COUNTIFS($D$3:$D$608,"2000", $I$3:$I$608,"Spanish fiction")</f>
        <v>2</v>
      </c>
    </row>
    <row r="102" spans="1:37" x14ac:dyDescent="0.2">
      <c r="A102" t="s">
        <v>503</v>
      </c>
      <c r="B102" t="s">
        <v>480</v>
      </c>
      <c r="C102" t="s">
        <v>480</v>
      </c>
      <c r="D102">
        <v>2006</v>
      </c>
      <c r="E102" t="s">
        <v>460</v>
      </c>
      <c r="F102" t="s">
        <v>1229</v>
      </c>
      <c r="G102" t="s">
        <v>481</v>
      </c>
      <c r="H102" t="s">
        <v>462</v>
      </c>
      <c r="I102" t="s">
        <v>463</v>
      </c>
      <c r="W102" s="6">
        <v>1998</v>
      </c>
      <c r="X102" s="6">
        <f>COUNTIFS($H$3:$H$608,"fre",$D$3:$D$608,"1998")</f>
        <v>6</v>
      </c>
      <c r="Z102" s="6">
        <v>1998</v>
      </c>
      <c r="AA102" s="6">
        <f>COUNTIFS($H$3:$H$608,"ger",$D$3:$D$608,"1998")</f>
        <v>1</v>
      </c>
      <c r="AG102" s="5">
        <v>2001</v>
      </c>
      <c r="AH102" s="5">
        <f>COUNTIFS($D$3:$D$608,"2001", $I$3:$I$608,"Drama")+COUNTIFS($D$3:$D$608,"2001", $I$3:$I$608,"Literatures of East &amp; Southeast Asia")+COUNTIFS($D$3:$D$608,"2001", $I$3:$I$608,"Occitan &amp; Catalan literatures")+1+2</f>
        <v>9</v>
      </c>
      <c r="AJ102" s="5">
        <v>2001</v>
      </c>
      <c r="AK102" s="5">
        <f>COUNTIFS($D$3:$D$608,"2001", $I$3:$I$608,"Altaic, Uralic, Hyperborean &amp; Dravidian")+COUNTIFS($D$3:$D$608,"2001", $I$3:$I$608,"American fiction in English")+COUNTIFS($D$3:$D$608,"2001", $I$3:$I$608,"English fiction")+COUNTIFS($D$3:$D$608,"2001", $I$3:$I$608,"French fiction")+COUNTIFS($D$3:$D$608,"2001", $I$3:$I$608,"German fiction")+COUNTIFS($D$3:$D$608,"2001", $I$3:$I$608,"Italian fiction")+COUNTIFS($D$3:$D$608,"2001", $I$3:$I$608,"Spanish fiction")</f>
        <v>5</v>
      </c>
    </row>
    <row r="103" spans="1:37" x14ac:dyDescent="0.2">
      <c r="A103" t="s">
        <v>487</v>
      </c>
      <c r="B103" t="s">
        <v>488</v>
      </c>
      <c r="C103" t="s">
        <v>480</v>
      </c>
      <c r="D103">
        <v>2002</v>
      </c>
      <c r="E103" t="s">
        <v>460</v>
      </c>
      <c r="F103" t="s">
        <v>1229</v>
      </c>
      <c r="G103" t="s">
        <v>481</v>
      </c>
      <c r="H103" t="s">
        <v>462</v>
      </c>
      <c r="I103" t="s">
        <v>463</v>
      </c>
      <c r="W103" s="5">
        <v>1999</v>
      </c>
      <c r="X103" s="5">
        <f>COUNTIFS($H$3:$H$608,"fre",$D$3:$D$608,"1999")</f>
        <v>5</v>
      </c>
      <c r="Z103" s="5">
        <v>1999</v>
      </c>
      <c r="AA103" s="5">
        <f>COUNTIFS($H$3:$H$608,"ger",$D$3:$D$608,"1999")</f>
        <v>2</v>
      </c>
      <c r="AG103" s="6">
        <v>2002</v>
      </c>
      <c r="AH103" s="6">
        <f>COUNTIFS($D$3:$D$608,"2002", $I$3:$I$608,"Drama")+COUNTIFS($D$3:$D$608,"2002", $I$3:$I$608,"Literatures of East &amp; Southeast Asia")+COUNTIFS($D$3:$D$608,"2002", $I$3:$I$608,"Occitan &amp; Catalan literatures")+3+2</f>
        <v>18</v>
      </c>
      <c r="AJ103" s="6">
        <v>2002</v>
      </c>
      <c r="AK103" s="6">
        <f>COUNTIFS($D$3:$D$608,"2002", $I$3:$I$608,"Altaic, Uralic, Hyperborean &amp; Dravidian")+COUNTIFS($D$3:$D$608,"2002", $I$3:$I$608,"American fiction in English")+COUNTIFS($D$3:$D$608,"2002", $I$3:$I$608,"English fiction")+COUNTIFS($D$3:$D$608,"2002", $I$3:$I$608,"French fiction")+COUNTIFS($D$3:$D$608,"2002", $I$3:$I$608,"German fiction")+COUNTIFS($D$3:$D$608,"2002", $I$3:$I$608,"Italian fiction")+COUNTIFS($D$3:$D$608,"2002", $I$3:$I$608,"Spanish fiction")+1</f>
        <v>7</v>
      </c>
    </row>
    <row r="104" spans="1:37" x14ac:dyDescent="0.2">
      <c r="A104" t="s">
        <v>238</v>
      </c>
      <c r="B104" t="s">
        <v>4</v>
      </c>
      <c r="C104" t="s">
        <v>4</v>
      </c>
      <c r="D104">
        <v>2004</v>
      </c>
      <c r="E104" t="s">
        <v>239</v>
      </c>
      <c r="F104" t="s">
        <v>240</v>
      </c>
      <c r="G104" t="s">
        <v>241</v>
      </c>
      <c r="H104" t="s">
        <v>156</v>
      </c>
      <c r="I104" t="s">
        <v>8</v>
      </c>
      <c r="W104" s="6">
        <v>2000</v>
      </c>
      <c r="X104" s="6">
        <f>COUNTIFS($H$3:$H$608,"fre",$D$3:$D$608,"2000")</f>
        <v>2</v>
      </c>
      <c r="Z104" s="6">
        <v>2000</v>
      </c>
      <c r="AA104" s="6">
        <f>COUNTIFS($H$3:$H$608,"ger",$D$3:$D$608,"2000")</f>
        <v>1</v>
      </c>
      <c r="AG104" s="5">
        <v>2003</v>
      </c>
      <c r="AH104" s="5">
        <f>COUNTIFS($D$3:$D$608,"2003", $I$3:$I$608,"Drama")+COUNTIFS($D$3:$D$608,"2003", $I$3:$I$608,"Literatures of East &amp; Southeast Asia")+COUNTIFS($D$3:$D$608,"2003", $I$3:$I$608,"Occitan &amp; Catalan literatures")+1</f>
        <v>3</v>
      </c>
      <c r="AJ104" s="5">
        <v>2003</v>
      </c>
      <c r="AK104" s="5">
        <f>COUNTIFS($D$3:$D$608,"2003", $I$3:$I$608,"Altaic, Uralic, Hyperborean &amp; Dravidian")+COUNTIFS($D$3:$D$608,"2003", $I$3:$I$608,"American fiction in English")+COUNTIFS($D$3:$D$608,"2003", $I$3:$I$608,"English fiction")+COUNTIFS($D$3:$D$608,"2003", $I$3:$I$608,"French fiction")+COUNTIFS($D$3:$D$608,"2003", $I$3:$I$608,"German fiction")+COUNTIFS($D$3:$D$608,"2003", $I$3:$I$608,"Italian fiction")+COUNTIFS($D$3:$D$608,"2003", $I$3:$I$608,"Spanish fiction")+1</f>
        <v>2</v>
      </c>
    </row>
    <row r="105" spans="1:37" x14ac:dyDescent="0.2">
      <c r="A105" t="s">
        <v>602</v>
      </c>
      <c r="B105" t="s">
        <v>4</v>
      </c>
      <c r="C105" t="s">
        <v>4</v>
      </c>
      <c r="D105">
        <v>1998</v>
      </c>
      <c r="E105" t="s">
        <v>522</v>
      </c>
      <c r="F105" t="s">
        <v>603</v>
      </c>
      <c r="G105" t="s">
        <v>41</v>
      </c>
      <c r="H105" t="s">
        <v>516</v>
      </c>
      <c r="I105" t="s">
        <v>524</v>
      </c>
      <c r="W105" s="5">
        <v>2001</v>
      </c>
      <c r="X105" s="5">
        <f>COUNTIFS($H$3:$H$608,"fre",$D$3:$D$608,"2001")</f>
        <v>3</v>
      </c>
      <c r="Z105" s="5">
        <v>2001</v>
      </c>
      <c r="AA105" s="5">
        <f>COUNTIFS($H$3:$H$608,"ger",$D$3:$D$608,"2001")</f>
        <v>1</v>
      </c>
      <c r="AG105" s="6">
        <v>2004</v>
      </c>
      <c r="AH105" s="6">
        <f>COUNTIFS($D$3:$D$608,"2004", $I$3:$I$608,"Drama")+COUNTIFS($D$3:$D$608,"2004", $I$3:$I$608,"Literatures of East &amp; Southeast Asia")+COUNTIFS($D$3:$D$608,"2004", $I$3:$I$608,"Occitan &amp; Catalan literatures")+1</f>
        <v>3</v>
      </c>
      <c r="AJ105" s="6">
        <v>2004</v>
      </c>
      <c r="AK105" s="6">
        <f>COUNTIFS($D$3:$D$608,"2004", $I$3:$I$608,"Altaic, Uralic, Hyperborean &amp; Dravidian")+COUNTIFS($D$3:$D$608,"2004", $I$3:$I$608,"American fiction in English")+COUNTIFS($D$3:$D$608,"2004", $I$3:$I$608,"English fiction")+COUNTIFS($D$3:$D$608,"2004", $I$3:$I$608,"French fiction")+COUNTIFS($D$3:$D$608,"2004", $I$3:$I$608,"German fiction")+COUNTIFS($D$3:$D$608,"2004", $I$3:$I$608,"Italian fiction")+COUNTIFS($D$3:$D$608,"2004", $I$3:$I$608,"Spanish fiction")</f>
        <v>5</v>
      </c>
    </row>
    <row r="106" spans="1:37" x14ac:dyDescent="0.2">
      <c r="A106" t="s">
        <v>755</v>
      </c>
      <c r="B106" t="s">
        <v>4</v>
      </c>
      <c r="C106" t="s">
        <v>4</v>
      </c>
      <c r="D106">
        <v>1999</v>
      </c>
      <c r="E106" t="s">
        <v>641</v>
      </c>
      <c r="F106" t="s">
        <v>756</v>
      </c>
      <c r="G106" t="s">
        <v>757</v>
      </c>
      <c r="H106" t="s">
        <v>639</v>
      </c>
      <c r="I106" t="s">
        <v>8</v>
      </c>
      <c r="W106" s="6">
        <v>2002</v>
      </c>
      <c r="X106" s="6">
        <f>COUNTIFS($H$3:$H$608,"fre",$D$3:$D$608,"2002")</f>
        <v>5</v>
      </c>
      <c r="Z106" s="6">
        <v>2002</v>
      </c>
      <c r="AA106" s="6">
        <f>COUNTIFS($H$3:$H$608,"ger",$D$3:$D$608,"2002")</f>
        <v>2</v>
      </c>
      <c r="AG106" s="5">
        <v>2005</v>
      </c>
      <c r="AH106" s="5">
        <f>COUNTIFS($D$3:$D$608,"2005", $I$3:$I$608,"Drama")+COUNTIFS($D$3:$D$608,"2005", $I$3:$I$608,"Literatures of East &amp; Southeast Asia")+COUNTIFS($D$3:$D$608,"2005", $I$3:$I$608,"Occitan &amp; Catalan literatures")</f>
        <v>1</v>
      </c>
      <c r="AJ106" s="5">
        <v>2005</v>
      </c>
      <c r="AK106" s="5">
        <f>COUNTIFS($D$3:$D$608,"2005", $I$3:$I$608,"Altaic, Uralic, Hyperborean &amp; Dravidian")+COUNTIFS($D$3:$D$608,"2005", $I$3:$I$608,"American fiction in English")+COUNTIFS($D$3:$D$608,"2005", $I$3:$I$608,"English fiction")+COUNTIFS($D$3:$D$608,"2005", $I$3:$I$608,"French fiction")+COUNTIFS($D$3:$D$608,"2005", $I$3:$I$608,"German fiction")+COUNTIFS($D$3:$D$608,"2005", $I$3:$I$608,"Italian fiction")+COUNTIFS($D$3:$D$608,"2005", $I$3:$I$608,"Spanish fiction")+2</f>
        <v>5</v>
      </c>
    </row>
    <row r="107" spans="1:37" x14ac:dyDescent="0.2">
      <c r="A107" t="s">
        <v>423</v>
      </c>
      <c r="B107" t="s">
        <v>4</v>
      </c>
      <c r="C107" t="s">
        <v>4</v>
      </c>
      <c r="D107">
        <v>2002</v>
      </c>
      <c r="E107" t="s">
        <v>167</v>
      </c>
      <c r="F107" t="s">
        <v>187</v>
      </c>
      <c r="G107" t="s">
        <v>328</v>
      </c>
      <c r="H107" t="s">
        <v>156</v>
      </c>
      <c r="I107" t="s">
        <v>170</v>
      </c>
      <c r="W107" s="5">
        <v>2003</v>
      </c>
      <c r="X107" s="5">
        <f>COUNTIFS($H$3:$H$608,"fre",$D$3:$D$608,"2003")</f>
        <v>3</v>
      </c>
      <c r="Z107" s="5">
        <v>2003</v>
      </c>
      <c r="AA107" s="5">
        <f>COUNTIFS($H$3:$H$608,"ger",$D$3:$D$608,"2003")</f>
        <v>4</v>
      </c>
      <c r="AG107" s="6">
        <v>2006</v>
      </c>
      <c r="AH107" s="6">
        <f>COUNTIFS($D$3:$D$608,"2006", $I$3:$I$608,"Drama")+COUNTIFS($D$3:$D$608,"2006", $I$3:$I$608,"Literatures of East &amp; Southeast Asia")+COUNTIFS($D$3:$D$608,"2006", $I$3:$I$608,"Occitan &amp; Catalan literatures")</f>
        <v>1</v>
      </c>
      <c r="AJ107" s="6">
        <v>2006</v>
      </c>
      <c r="AK107" s="6">
        <f>COUNTIFS($D$3:$D$608,"2006", $I$3:$I$608,"Altaic, Uralic, Hyperborean &amp; Dravidian")+COUNTIFS($D$3:$D$608,"2006", $I$3:$I$608,"American fiction in English")+COUNTIFS($D$3:$D$608,"2006", $I$3:$I$608,"English fiction")+COUNTIFS($D$3:$D$608,"2006", $I$3:$I$608,"French fiction")+COUNTIFS($D$3:$D$608,"2006", $I$3:$I$608,"German fiction")+COUNTIFS($D$3:$D$608,"2006", $I$3:$I$608,"Italian fiction")+COUNTIFS($D$3:$D$608,"2006", $I$3:$I$608,"Spanish fiction")</f>
        <v>4</v>
      </c>
    </row>
    <row r="108" spans="1:37" x14ac:dyDescent="0.2">
      <c r="A108" t="s">
        <v>543</v>
      </c>
      <c r="B108" t="s">
        <v>270</v>
      </c>
      <c r="C108" t="s">
        <v>62</v>
      </c>
      <c r="D108">
        <v>1991</v>
      </c>
      <c r="E108" t="s">
        <v>513</v>
      </c>
      <c r="F108" t="s">
        <v>544</v>
      </c>
      <c r="G108" t="s">
        <v>545</v>
      </c>
      <c r="H108" t="s">
        <v>516</v>
      </c>
      <c r="I108" t="s">
        <v>38</v>
      </c>
      <c r="W108" s="6">
        <v>2004</v>
      </c>
      <c r="X108" s="6">
        <f>COUNTIFS($H$3:$H$608,"fre",$D$3:$D$608,"2004")</f>
        <v>3</v>
      </c>
      <c r="Z108" s="6">
        <v>2004</v>
      </c>
      <c r="AA108" s="6">
        <f>COUNTIFS($H$3:$H$608,"ger",$D$3:$D$608,"2004")</f>
        <v>3</v>
      </c>
      <c r="AG108" s="5">
        <v>2007</v>
      </c>
      <c r="AH108" s="5">
        <f>COUNTIFS($D$3:$D$608,"2007", $I$3:$I$608,"Drama")+COUNTIFS($D$3:$D$608,"2007", $I$3:$I$608,"Literatures of East &amp; Southeast Asia")+COUNTIFS($D$3:$D$608,"2007", $I$3:$I$608,"Occitan &amp; Catalan literatures")</f>
        <v>2</v>
      </c>
      <c r="AJ108" s="5">
        <v>2007</v>
      </c>
      <c r="AK108" s="5">
        <f>COUNTIFS($D$3:$D$608,"2007", $I$3:$I$608,"Altaic, Uralic, Hyperborean &amp; Dravidian")+COUNTIFS($D$3:$D$608,"2007", $I$3:$I$608,"American fiction in English")+COUNTIFS($D$3:$D$608,"2007", $I$3:$I$608,"English fiction")+COUNTIFS($D$3:$D$608,"2007", $I$3:$I$608,"French fiction")+COUNTIFS($D$3:$D$608,"2007", $I$3:$I$608,"German fiction")+COUNTIFS($D$3:$D$608,"2007", $I$3:$I$608,"Italian fiction")+COUNTIFS($D$3:$D$608,"2007", $I$3:$I$608,"Spanish fiction")</f>
        <v>7</v>
      </c>
    </row>
    <row r="109" spans="1:37" x14ac:dyDescent="0.2">
      <c r="A109" t="s">
        <v>186</v>
      </c>
      <c r="B109" t="s">
        <v>4</v>
      </c>
      <c r="C109" t="s">
        <v>4</v>
      </c>
      <c r="D109">
        <v>2001</v>
      </c>
      <c r="E109" t="s">
        <v>153</v>
      </c>
      <c r="F109" t="s">
        <v>187</v>
      </c>
      <c r="G109" t="s">
        <v>105</v>
      </c>
      <c r="H109" t="s">
        <v>156</v>
      </c>
      <c r="I109" t="s">
        <v>8</v>
      </c>
      <c r="W109" s="5">
        <v>2005</v>
      </c>
      <c r="X109" s="5">
        <f>COUNTIFS($H$3:$H$608,"fre",$D$3:$D$608,"2005")</f>
        <v>3</v>
      </c>
      <c r="Z109" s="5">
        <v>2005</v>
      </c>
      <c r="AA109" s="5">
        <f>COUNTIFS($H$3:$H$608,"ger",$D$3:$D$608,"2005")</f>
        <v>4</v>
      </c>
      <c r="AG109" s="6">
        <v>2008</v>
      </c>
      <c r="AH109" s="6">
        <f>COUNTIFS($D$3:$D$608,"2008", $I$3:$I$608,"Drama")+COUNTIFS($D$3:$D$608,"2008", $I$3:$I$608,"Literatures of East &amp; Southeast Asia")+COUNTIFS($D$3:$D$608,"2008", $I$3:$I$608,"Occitan &amp; Catalan literatures")</f>
        <v>2</v>
      </c>
      <c r="AJ109" s="6">
        <v>2008</v>
      </c>
      <c r="AK109" s="6">
        <f>COUNTIFS($D$3:$D$608,"2008", $I$3:$I$608,"Altaic, Uralic, Hyperborean &amp; Dravidian")+COUNTIFS($D$3:$D$608,"2008", $I$3:$I$608,"American fiction in English")+COUNTIFS($D$3:$D$608,"2008", $I$3:$I$608,"English fiction")+COUNTIFS($D$3:$D$608,"2008", $I$3:$I$608,"French fiction")+COUNTIFS($D$3:$D$608,"2008", $I$3:$I$608,"German fiction")+COUNTIFS($D$3:$D$608,"2008", $I$3:$I$608,"Italian fiction")+COUNTIFS($D$3:$D$608,"2008", $I$3:$I$608,"Spanish fiction")</f>
        <v>12</v>
      </c>
    </row>
    <row r="110" spans="1:37" x14ac:dyDescent="0.2">
      <c r="A110" t="s">
        <v>387</v>
      </c>
      <c r="B110" t="s">
        <v>4</v>
      </c>
      <c r="C110" t="s">
        <v>4</v>
      </c>
      <c r="D110">
        <v>2006</v>
      </c>
      <c r="E110" t="s">
        <v>220</v>
      </c>
      <c r="F110" t="s">
        <v>388</v>
      </c>
      <c r="G110" t="s">
        <v>46</v>
      </c>
      <c r="H110" t="s">
        <v>156</v>
      </c>
      <c r="I110" t="s">
        <v>38</v>
      </c>
      <c r="W110" s="6">
        <v>2006</v>
      </c>
      <c r="X110" s="6">
        <f>COUNTIFS($H$3:$H$608,"fre",$D$3:$D$608,"2006")</f>
        <v>1</v>
      </c>
      <c r="Z110" s="6">
        <v>2006</v>
      </c>
      <c r="AA110" s="6">
        <f>COUNTIFS($H$3:$H$608,"ger",$D$3:$D$608,"2006")</f>
        <v>4</v>
      </c>
      <c r="AG110" s="5">
        <v>2009</v>
      </c>
      <c r="AH110" s="5">
        <f>COUNTIFS($D$3:$D$608,"2009", $I$3:$I$608,"Drama")+COUNTIFS($D$3:$D$608,"2009", $I$3:$I$608,"Literatures of East &amp; Southeast Asia")+COUNTIFS($D$3:$D$608,"2009", $I$3:$I$608,"Occitan &amp; Catalan literatures")</f>
        <v>1</v>
      </c>
      <c r="AJ110" s="5">
        <v>2009</v>
      </c>
      <c r="AK110" s="5">
        <f>COUNTIFS($D$3:$D$608,"2009", $I$3:$I$608,"Altaic, Uralic, Hyperborean &amp; Dravidian")+COUNTIFS($D$3:$D$608,"2009", $I$3:$I$608,"American fiction in English")+COUNTIFS($D$3:$D$608,"2009", $I$3:$I$608,"English fiction")+COUNTIFS($D$3:$D$608,"2009", $I$3:$I$608,"French fiction")+COUNTIFS($D$3:$D$608,"2009", $I$3:$I$608,"German fiction")+COUNTIFS($D$3:$D$608,"2009", $I$3:$I$608,"Italian fiction")+COUNTIFS($D$3:$D$608,"2009", $I$3:$I$608,"Spanish fiction")+1</f>
        <v>9</v>
      </c>
    </row>
    <row r="111" spans="1:37" x14ac:dyDescent="0.2">
      <c r="A111" t="s">
        <v>417</v>
      </c>
      <c r="B111" t="s">
        <v>69</v>
      </c>
      <c r="C111" t="s">
        <v>69</v>
      </c>
      <c r="D111">
        <v>2001</v>
      </c>
      <c r="E111" t="s">
        <v>167</v>
      </c>
      <c r="F111" t="s">
        <v>418</v>
      </c>
      <c r="G111" t="s">
        <v>163</v>
      </c>
      <c r="H111" t="s">
        <v>156</v>
      </c>
      <c r="I111" t="s">
        <v>170</v>
      </c>
      <c r="W111" s="5">
        <v>2007</v>
      </c>
      <c r="X111" s="5">
        <f>COUNTIFS($H$3:$H$608,"fre",$D$3:$D$608,"2007")</f>
        <v>6</v>
      </c>
      <c r="Z111" s="5">
        <v>2007</v>
      </c>
      <c r="AA111" s="5">
        <f>COUNTIFS($H$3:$H$608,"ger",$D$3:$D$608,"2007")</f>
        <v>6</v>
      </c>
      <c r="AG111" s="6">
        <v>2010</v>
      </c>
      <c r="AH111" s="6">
        <f>COUNTIFS($D$3:$D$608,"2010", $I$3:$I$608,"Drama")+COUNTIFS($D$3:$D$608,"2010", $I$3:$I$608,"Literatures of East &amp; Southeast Asia")+COUNTIFS($D$3:$D$608,"2010", $I$3:$I$608,"Occitan &amp; Catalan literatures")</f>
        <v>1</v>
      </c>
      <c r="AJ111" s="6">
        <v>2010</v>
      </c>
      <c r="AK111" s="6">
        <f>COUNTIFS($D$3:$D$608,"2010", $I$3:$I$608,"Altaic, Uralic, Hyperborean &amp; Dravidian")+COUNTIFS($D$3:$D$608,"2010", $I$3:$I$608,"American fiction in English")+COUNTIFS($D$3:$D$608,"2010", $I$3:$I$608,"English fiction")+COUNTIFS($D$3:$D$608,"2010", $I$3:$I$608,"French fiction")+COUNTIFS($D$3:$D$608,"2010", $I$3:$I$608,"German fiction")+COUNTIFS($D$3:$D$608,"2010", $I$3:$I$608,"Italian fiction")+COUNTIFS($D$3:$D$608,"2010", $I$3:$I$608,"Spanish fiction")+2</f>
        <v>9</v>
      </c>
    </row>
    <row r="112" spans="1:37" x14ac:dyDescent="0.2">
      <c r="A112" t="s">
        <v>625</v>
      </c>
      <c r="B112" t="s">
        <v>4</v>
      </c>
      <c r="C112" t="s">
        <v>4</v>
      </c>
      <c r="D112">
        <v>1993</v>
      </c>
      <c r="E112" t="s">
        <v>536</v>
      </c>
      <c r="F112" t="s">
        <v>619</v>
      </c>
      <c r="G112" t="s">
        <v>41</v>
      </c>
      <c r="H112" t="s">
        <v>516</v>
      </c>
      <c r="I112" t="s">
        <v>8</v>
      </c>
      <c r="W112" s="6">
        <v>2008</v>
      </c>
      <c r="X112" s="6">
        <f>COUNTIFS($H$3:$H$608,"fre",$D$3:$D$608,"2008")</f>
        <v>6</v>
      </c>
      <c r="Z112" s="6">
        <v>2008</v>
      </c>
      <c r="AA112" s="6">
        <f>COUNTIFS($H$3:$H$608,"ger",$D$3:$D$608,"2008")</f>
        <v>3</v>
      </c>
      <c r="AG112" s="4" t="s">
        <v>1310</v>
      </c>
      <c r="AH112" s="4">
        <f>SUM(AH91:AH111)</f>
        <v>151</v>
      </c>
      <c r="AJ112" s="4" t="s">
        <v>1310</v>
      </c>
      <c r="AK112" s="4">
        <f>SUM(AK91:AK111)</f>
        <v>80</v>
      </c>
    </row>
    <row r="113" spans="1:34" x14ac:dyDescent="0.2">
      <c r="A113" t="s">
        <v>960</v>
      </c>
      <c r="B113" t="s">
        <v>691</v>
      </c>
      <c r="C113" t="s">
        <v>691</v>
      </c>
      <c r="D113">
        <v>1994</v>
      </c>
      <c r="E113" t="s">
        <v>936</v>
      </c>
      <c r="F113" t="s">
        <v>940</v>
      </c>
      <c r="G113" t="s">
        <v>693</v>
      </c>
      <c r="H113" t="s">
        <v>938</v>
      </c>
      <c r="I113" t="s">
        <v>8</v>
      </c>
      <c r="W113" s="5">
        <v>2009</v>
      </c>
      <c r="X113" s="5">
        <f>COUNTIFS($H$3:$H$608,"fre",$D$3:$D$608,"2009")</f>
        <v>4</v>
      </c>
      <c r="Z113" s="5">
        <v>2009</v>
      </c>
      <c r="AA113" s="5">
        <f>COUNTIFS($H$3:$H$608,"ger",$D$3:$D$608,"2009")</f>
        <v>4</v>
      </c>
    </row>
    <row r="114" spans="1:34" x14ac:dyDescent="0.2">
      <c r="A114" t="s">
        <v>93</v>
      </c>
      <c r="B114" t="s">
        <v>94</v>
      </c>
      <c r="C114" t="s">
        <v>94</v>
      </c>
      <c r="D114">
        <v>1991</v>
      </c>
      <c r="E114" t="s">
        <v>5</v>
      </c>
      <c r="F114" t="s">
        <v>40</v>
      </c>
      <c r="G114" t="s">
        <v>95</v>
      </c>
      <c r="H114" t="s">
        <v>7</v>
      </c>
      <c r="I114" t="s">
        <v>8</v>
      </c>
      <c r="W114" s="6">
        <v>2010</v>
      </c>
      <c r="X114" s="6">
        <f>COUNTIFS($H$3:$H$608,"fre",$D$3:$D$608,"2010")</f>
        <v>6</v>
      </c>
      <c r="Z114" s="6">
        <v>2010</v>
      </c>
      <c r="AA114" s="6">
        <f>COUNTIFS($H$3:$H$608,"ger",$D$3:$D$608,"2010")</f>
        <v>2</v>
      </c>
      <c r="AG114" s="37" t="s">
        <v>1267</v>
      </c>
      <c r="AH114" s="37"/>
    </row>
    <row r="115" spans="1:34" x14ac:dyDescent="0.2">
      <c r="A115" t="s">
        <v>719</v>
      </c>
      <c r="B115" t="s">
        <v>94</v>
      </c>
      <c r="C115" t="s">
        <v>94</v>
      </c>
      <c r="D115">
        <v>1997</v>
      </c>
      <c r="E115" t="s">
        <v>641</v>
      </c>
      <c r="F115" t="s">
        <v>683</v>
      </c>
      <c r="G115" t="s">
        <v>95</v>
      </c>
      <c r="H115" t="s">
        <v>639</v>
      </c>
      <c r="I115" t="s">
        <v>8</v>
      </c>
      <c r="W115" s="4" t="s">
        <v>1310</v>
      </c>
      <c r="X115" s="4">
        <f>SUM(X94:X114)</f>
        <v>75</v>
      </c>
      <c r="Z115" s="4" t="s">
        <v>1310</v>
      </c>
      <c r="AA115" s="4">
        <f>SUM(AA94:AA114)</f>
        <v>56</v>
      </c>
      <c r="AG115" s="7" t="s">
        <v>1275</v>
      </c>
      <c r="AH115" s="7" t="s">
        <v>1340</v>
      </c>
    </row>
    <row r="116" spans="1:34" x14ac:dyDescent="0.2">
      <c r="A116" t="s">
        <v>367</v>
      </c>
      <c r="B116" t="s">
        <v>4</v>
      </c>
      <c r="C116" t="s">
        <v>4</v>
      </c>
      <c r="D116">
        <v>2010</v>
      </c>
      <c r="E116" t="s">
        <v>172</v>
      </c>
      <c r="F116" t="s">
        <v>368</v>
      </c>
      <c r="G116" t="s">
        <v>369</v>
      </c>
      <c r="H116" t="s">
        <v>156</v>
      </c>
      <c r="I116" t="s">
        <v>174</v>
      </c>
      <c r="AG116" s="6">
        <v>1990</v>
      </c>
      <c r="AH116" s="6">
        <f>COUNTIFS($D$3:$D$608,"1990", $I$3:$I$608,"German letters")+COUNTIFS($D$3:$D$608,"1990", $I$3:$I$608,"German miscellaneous writings")+1</f>
        <v>1</v>
      </c>
    </row>
    <row r="117" spans="1:34" x14ac:dyDescent="0.2">
      <c r="A117" t="s">
        <v>1075</v>
      </c>
      <c r="B117" t="s">
        <v>1076</v>
      </c>
      <c r="C117" t="s">
        <v>1076</v>
      </c>
      <c r="D117">
        <v>2008</v>
      </c>
      <c r="E117" t="s">
        <v>1077</v>
      </c>
      <c r="F117" t="s">
        <v>1074</v>
      </c>
      <c r="G117" t="s">
        <v>1066</v>
      </c>
      <c r="H117" t="s">
        <v>1067</v>
      </c>
      <c r="I117" t="s">
        <v>463</v>
      </c>
      <c r="W117" s="37" t="s">
        <v>1309</v>
      </c>
      <c r="X117" s="37"/>
      <c r="AG117" s="5">
        <v>1991</v>
      </c>
      <c r="AH117" s="5">
        <f>COUNTIFS($D$3:$D$608,"1991", $I$3:$I$608,"German letters")+COUNTIFS($D$3:$D$608,"1991", $I$3:$I$608,"German miscellaneous writings")</f>
        <v>1</v>
      </c>
    </row>
    <row r="118" spans="1:34" x14ac:dyDescent="0.2">
      <c r="A118" t="s">
        <v>842</v>
      </c>
      <c r="B118" t="s">
        <v>4</v>
      </c>
      <c r="C118" t="s">
        <v>4</v>
      </c>
      <c r="D118">
        <v>2003</v>
      </c>
      <c r="E118" t="s">
        <v>840</v>
      </c>
      <c r="F118" t="s">
        <v>1223</v>
      </c>
      <c r="G118" t="s">
        <v>295</v>
      </c>
      <c r="H118" t="s">
        <v>836</v>
      </c>
      <c r="I118" t="s">
        <v>8</v>
      </c>
      <c r="W118" s="7" t="s">
        <v>1275</v>
      </c>
      <c r="X118" s="7" t="s">
        <v>1340</v>
      </c>
      <c r="AG118" s="6">
        <v>1992</v>
      </c>
      <c r="AH118" s="6">
        <f>COUNTIFS($D$3:$D$608,"1992", $I$3:$I$608,"German letters")+COUNTIFS($D$3:$D$608,"1992", $I$3:$I$608,"German miscellaneous writings")</f>
        <v>0</v>
      </c>
    </row>
    <row r="119" spans="1:34" x14ac:dyDescent="0.2">
      <c r="A119" t="s">
        <v>838</v>
      </c>
      <c r="B119" t="s">
        <v>839</v>
      </c>
      <c r="C119" t="s">
        <v>839</v>
      </c>
      <c r="D119">
        <v>2003</v>
      </c>
      <c r="E119" t="s">
        <v>840</v>
      </c>
      <c r="F119" t="s">
        <v>1223</v>
      </c>
      <c r="G119" t="s">
        <v>841</v>
      </c>
      <c r="H119" t="s">
        <v>836</v>
      </c>
      <c r="I119" t="s">
        <v>8</v>
      </c>
      <c r="W119" s="6">
        <v>1990</v>
      </c>
      <c r="X119" s="6">
        <f>COUNTIFS($H$3:$H$608,"swe",$D$3:$D$608,"1990")</f>
        <v>1</v>
      </c>
      <c r="AG119" s="5">
        <v>1993</v>
      </c>
      <c r="AH119" s="5">
        <f>COUNTIFS($D$3:$D$608,"1993", $I$3:$I$608,"German letters")+COUNTIFS($D$3:$D$608,"1993", $I$3:$I$608,"German miscellaneous writings")+3</f>
        <v>3</v>
      </c>
    </row>
    <row r="120" spans="1:34" x14ac:dyDescent="0.2">
      <c r="A120" t="s">
        <v>203</v>
      </c>
      <c r="B120" t="s">
        <v>4</v>
      </c>
      <c r="C120" t="s">
        <v>4</v>
      </c>
      <c r="D120">
        <v>2005</v>
      </c>
      <c r="E120" t="s">
        <v>153</v>
      </c>
      <c r="F120" t="s">
        <v>204</v>
      </c>
      <c r="G120" t="s">
        <v>105</v>
      </c>
      <c r="H120" t="s">
        <v>156</v>
      </c>
      <c r="I120" t="s">
        <v>8</v>
      </c>
      <c r="W120" s="5">
        <v>1991</v>
      </c>
      <c r="X120" s="5">
        <f>COUNTIFS($H$3:$H$608,"swe",$D$3:$D$608,"1991")</f>
        <v>5</v>
      </c>
      <c r="AG120" s="6">
        <v>1994</v>
      </c>
      <c r="AH120" s="6">
        <f>COUNTIFS($D$3:$D$608,"1994", $I$3:$I$608,"German letters")+COUNTIFS($D$3:$D$608,"1994", $I$3:$I$608,"German miscellaneous writings")+3</f>
        <v>3</v>
      </c>
    </row>
    <row r="121" spans="1:34" x14ac:dyDescent="0.2">
      <c r="A121" t="s">
        <v>410</v>
      </c>
      <c r="B121" t="s">
        <v>297</v>
      </c>
      <c r="C121" t="s">
        <v>297</v>
      </c>
      <c r="D121">
        <v>2008</v>
      </c>
      <c r="E121" t="s">
        <v>167</v>
      </c>
      <c r="F121" t="s">
        <v>404</v>
      </c>
      <c r="G121" t="s">
        <v>369</v>
      </c>
      <c r="H121" t="s">
        <v>156</v>
      </c>
      <c r="I121" t="s">
        <v>170</v>
      </c>
      <c r="W121" s="6">
        <v>1992</v>
      </c>
      <c r="X121" s="6">
        <f>COUNTIFS($H$3:$H$608,"swe",$D$3:$D$608,"1992")</f>
        <v>7</v>
      </c>
      <c r="AG121" s="5">
        <v>1995</v>
      </c>
      <c r="AH121" s="5">
        <f>COUNTIFS($D$3:$D$608,"1995", $I$3:$I$608,"German letters")+COUNTIFS($D$3:$D$608,"1995", $I$3:$I$608,"German miscellaneous writings")+3</f>
        <v>3</v>
      </c>
    </row>
    <row r="122" spans="1:34" x14ac:dyDescent="0.2">
      <c r="A122" t="s">
        <v>627</v>
      </c>
      <c r="B122" t="s">
        <v>628</v>
      </c>
      <c r="C122" t="s">
        <v>628</v>
      </c>
      <c r="D122">
        <v>2007</v>
      </c>
      <c r="E122" t="s">
        <v>536</v>
      </c>
      <c r="F122" t="s">
        <v>629</v>
      </c>
      <c r="G122" t="s">
        <v>41</v>
      </c>
      <c r="H122" t="s">
        <v>516</v>
      </c>
      <c r="I122" t="s">
        <v>8</v>
      </c>
      <c r="W122" s="5">
        <v>1993</v>
      </c>
      <c r="X122" s="5">
        <f>COUNTIFS($H$3:$H$608,"swe",$D$3:$D$608,"1993")</f>
        <v>12</v>
      </c>
      <c r="AG122" s="6">
        <v>1996</v>
      </c>
      <c r="AH122" s="6">
        <f>COUNTIFS($D$3:$D$608,"1996", $I$3:$I$608,"German letters")+COUNTIFS($D$3:$D$608,"1996", $I$3:$I$608,"German miscellaneous writings")+5</f>
        <v>5</v>
      </c>
    </row>
    <row r="123" spans="1:34" x14ac:dyDescent="0.2">
      <c r="A123" t="s">
        <v>822</v>
      </c>
      <c r="B123" t="s">
        <v>4</v>
      </c>
      <c r="C123" t="s">
        <v>4</v>
      </c>
      <c r="D123">
        <v>1996</v>
      </c>
      <c r="E123" t="s">
        <v>641</v>
      </c>
      <c r="F123" t="s">
        <v>683</v>
      </c>
      <c r="G123" t="s">
        <v>229</v>
      </c>
      <c r="H123" t="s">
        <v>639</v>
      </c>
      <c r="I123" t="s">
        <v>8</v>
      </c>
      <c r="W123" s="6">
        <v>1994</v>
      </c>
      <c r="X123" s="6">
        <f>COUNTIFS($H$3:$H$608,"swe",$D$3:$D$608,"1994")</f>
        <v>9</v>
      </c>
      <c r="AG123" s="5">
        <v>1997</v>
      </c>
      <c r="AH123" s="5">
        <f>COUNTIFS($D$3:$D$608,"1997", $I$3:$I$608,"German letters")+COUNTIFS($D$3:$D$608,"1997", $I$3:$I$608,"German miscellaneous writings")+1</f>
        <v>1</v>
      </c>
    </row>
    <row r="124" spans="1:34" x14ac:dyDescent="0.2">
      <c r="A124" t="s">
        <v>599</v>
      </c>
      <c r="B124" t="s">
        <v>48</v>
      </c>
      <c r="C124" t="s">
        <v>48</v>
      </c>
      <c r="D124">
        <v>2001</v>
      </c>
      <c r="E124" t="s">
        <v>522</v>
      </c>
      <c r="F124" t="s">
        <v>600</v>
      </c>
      <c r="G124" t="s">
        <v>601</v>
      </c>
      <c r="H124" t="s">
        <v>516</v>
      </c>
      <c r="I124" t="s">
        <v>524</v>
      </c>
      <c r="W124" s="5">
        <v>1995</v>
      </c>
      <c r="X124" s="5">
        <f>COUNTIFS($H$3:$H$608,"swe",$D$3:$D$608,"1995")</f>
        <v>7</v>
      </c>
      <c r="AG124" s="6">
        <v>1998</v>
      </c>
      <c r="AH124" s="6">
        <f>COUNTIFS($D$3:$D$608,"1998", $I$3:$I$608,"German letters")+COUNTIFS($D$3:$D$608,"1998", $I$3:$I$608,"German miscellaneous writings")+1</f>
        <v>1</v>
      </c>
    </row>
    <row r="125" spans="1:34" x14ac:dyDescent="0.2">
      <c r="A125" t="s">
        <v>847</v>
      </c>
      <c r="B125" t="s">
        <v>4</v>
      </c>
      <c r="C125" t="s">
        <v>4</v>
      </c>
      <c r="D125">
        <v>2001</v>
      </c>
      <c r="E125" t="s">
        <v>378</v>
      </c>
      <c r="F125" t="s">
        <v>1223</v>
      </c>
      <c r="G125" t="s">
        <v>848</v>
      </c>
      <c r="H125" t="s">
        <v>836</v>
      </c>
      <c r="I125" t="s">
        <v>380</v>
      </c>
      <c r="W125" s="6">
        <v>1996</v>
      </c>
      <c r="X125" s="6">
        <f>COUNTIFS($H$3:$H$608,"swe",$D$3:$D$608,"1996")</f>
        <v>4</v>
      </c>
      <c r="AG125" s="5">
        <v>1999</v>
      </c>
      <c r="AH125" s="5">
        <f>COUNTIFS($D$3:$D$608,"1999", $I$3:$I$608,"German letters")+COUNTIFS($D$3:$D$608,"1999", $I$3:$I$608,"German miscellaneous writings")</f>
        <v>0</v>
      </c>
    </row>
    <row r="126" spans="1:34" x14ac:dyDescent="0.2">
      <c r="A126" t="s">
        <v>389</v>
      </c>
      <c r="B126" t="s">
        <v>4</v>
      </c>
      <c r="C126" t="s">
        <v>4</v>
      </c>
      <c r="D126">
        <v>1998</v>
      </c>
      <c r="E126" t="s">
        <v>161</v>
      </c>
      <c r="F126" t="s">
        <v>390</v>
      </c>
      <c r="G126" t="s">
        <v>22</v>
      </c>
      <c r="H126" t="s">
        <v>156</v>
      </c>
      <c r="I126" t="s">
        <v>164</v>
      </c>
      <c r="W126" s="5">
        <v>1997</v>
      </c>
      <c r="X126" s="5">
        <f>COUNTIFS($H$3:$H$608,"swe",$D$3:$D$608,"1997")</f>
        <v>6</v>
      </c>
      <c r="AG126" s="6">
        <v>2000</v>
      </c>
      <c r="AH126" s="6">
        <f>COUNTIFS($D$3:$D$608,"2000", $I$3:$I$608,"German letters")+COUNTIFS($D$3:$D$608,"2000", $I$3:$I$608,"German miscellaneous writings")</f>
        <v>0</v>
      </c>
    </row>
    <row r="127" spans="1:34" x14ac:dyDescent="0.2">
      <c r="A127" t="s">
        <v>511</v>
      </c>
      <c r="B127" t="s">
        <v>512</v>
      </c>
      <c r="C127" t="s">
        <v>512</v>
      </c>
      <c r="D127">
        <v>1991</v>
      </c>
      <c r="E127" t="s">
        <v>513</v>
      </c>
      <c r="F127" t="s">
        <v>514</v>
      </c>
      <c r="G127" t="s">
        <v>515</v>
      </c>
      <c r="H127" t="s">
        <v>516</v>
      </c>
      <c r="I127" t="s">
        <v>38</v>
      </c>
      <c r="W127" s="6">
        <v>1998</v>
      </c>
      <c r="X127" s="6">
        <f>COUNTIFS($H$3:$H$608,"swe",$D$3:$D$608,"1998")</f>
        <v>3</v>
      </c>
      <c r="AG127" s="5">
        <v>2001</v>
      </c>
      <c r="AH127" s="5">
        <f>COUNTIFS($D$3:$D$608,"2001", $I$3:$I$608,"German letters")+COUNTIFS($D$3:$D$608,"2001", $I$3:$I$608,"German miscellaneous writings")+3</f>
        <v>3</v>
      </c>
    </row>
    <row r="128" spans="1:34" x14ac:dyDescent="0.2">
      <c r="A128" t="s">
        <v>592</v>
      </c>
      <c r="B128" t="s">
        <v>512</v>
      </c>
      <c r="C128" t="s">
        <v>512</v>
      </c>
      <c r="D128">
        <v>1991</v>
      </c>
      <c r="E128" t="s">
        <v>513</v>
      </c>
      <c r="F128" t="s">
        <v>514</v>
      </c>
      <c r="G128" t="s">
        <v>515</v>
      </c>
      <c r="H128" t="s">
        <v>516</v>
      </c>
      <c r="I128" t="s">
        <v>38</v>
      </c>
      <c r="W128" s="5">
        <v>1999</v>
      </c>
      <c r="X128" s="5">
        <f>COUNTIFS($H$3:$H$608,"swe",$D$3:$D$608,"1999")</f>
        <v>5</v>
      </c>
      <c r="AG128" s="6">
        <v>2002</v>
      </c>
      <c r="AH128" s="6">
        <f>COUNTIFS($D$3:$D$608,"2002", $I$3:$I$608,"German letters")+COUNTIFS($D$3:$D$608,"2002", $I$3:$I$608,"German miscellaneous writings")+2</f>
        <v>2</v>
      </c>
    </row>
    <row r="129" spans="1:34" x14ac:dyDescent="0.2">
      <c r="A129" t="s">
        <v>42</v>
      </c>
      <c r="B129" t="s">
        <v>4</v>
      </c>
      <c r="C129" t="s">
        <v>4</v>
      </c>
      <c r="D129">
        <v>2010</v>
      </c>
      <c r="E129" t="s">
        <v>35</v>
      </c>
      <c r="F129" t="s">
        <v>21</v>
      </c>
      <c r="G129" t="s">
        <v>43</v>
      </c>
      <c r="H129" t="s">
        <v>7</v>
      </c>
      <c r="I129" t="s">
        <v>38</v>
      </c>
      <c r="W129" s="6">
        <v>2000</v>
      </c>
      <c r="X129" s="6">
        <f>COUNTIFS($H$3:$H$608,"swe",$D$3:$D$608,"2000")</f>
        <v>9</v>
      </c>
      <c r="AG129" s="5">
        <v>2003</v>
      </c>
      <c r="AH129" s="5">
        <f>COUNTIFS($D$3:$D$608,"2003", $I$3:$I$608,"German letters")+COUNTIFS($D$3:$D$608,"2003", $I$3:$I$608,"German miscellaneous writings")+2</f>
        <v>2</v>
      </c>
    </row>
    <row r="130" spans="1:34" x14ac:dyDescent="0.2">
      <c r="A130" t="s">
        <v>585</v>
      </c>
      <c r="B130" t="s">
        <v>62</v>
      </c>
      <c r="C130" t="s">
        <v>62</v>
      </c>
      <c r="D130">
        <v>2001</v>
      </c>
      <c r="E130" t="s">
        <v>513</v>
      </c>
      <c r="F130" t="s">
        <v>514</v>
      </c>
      <c r="G130" t="s">
        <v>582</v>
      </c>
      <c r="H130" t="s">
        <v>516</v>
      </c>
      <c r="I130" t="s">
        <v>38</v>
      </c>
      <c r="W130" s="5">
        <v>2001</v>
      </c>
      <c r="X130" s="5">
        <f>COUNTIFS($H$3:$H$608,"swe",$D$3:$D$608,"2001")</f>
        <v>3</v>
      </c>
      <c r="AG130" s="6">
        <v>2004</v>
      </c>
      <c r="AH130" s="6">
        <f>COUNTIFS($D$3:$D$608,"2004", $I$3:$I$608,"German letters")+COUNTIFS($D$3:$D$608,"2004", $I$3:$I$608,"German miscellaneous writings")+1</f>
        <v>1</v>
      </c>
    </row>
    <row r="131" spans="1:34" x14ac:dyDescent="0.2">
      <c r="A131" t="s">
        <v>210</v>
      </c>
      <c r="B131" t="s">
        <v>62</v>
      </c>
      <c r="C131" t="s">
        <v>62</v>
      </c>
      <c r="D131">
        <v>1999</v>
      </c>
      <c r="E131" t="s">
        <v>211</v>
      </c>
      <c r="F131" t="s">
        <v>212</v>
      </c>
      <c r="G131" t="s">
        <v>213</v>
      </c>
      <c r="H131" t="s">
        <v>156</v>
      </c>
      <c r="I131" t="s">
        <v>38</v>
      </c>
      <c r="W131" s="6">
        <v>2002</v>
      </c>
      <c r="X131" s="6">
        <f>COUNTIFS($H$3:$H$608,"swe",$D$3:$D$608,"2002")</f>
        <v>3</v>
      </c>
      <c r="AG131" s="5">
        <v>2005</v>
      </c>
      <c r="AH131" s="5">
        <f>COUNTIFS($D$3:$D$608,"2005", $I$3:$I$608,"German letters")+COUNTIFS($D$3:$D$608,"2005", $I$3:$I$608,"German miscellaneous writings")+1</f>
        <v>1</v>
      </c>
    </row>
    <row r="132" spans="1:34" x14ac:dyDescent="0.2">
      <c r="A132" t="s">
        <v>864</v>
      </c>
      <c r="B132" t="s">
        <v>865</v>
      </c>
      <c r="C132" t="s">
        <v>865</v>
      </c>
      <c r="D132">
        <v>1999</v>
      </c>
      <c r="E132" t="s">
        <v>866</v>
      </c>
      <c r="F132" t="s">
        <v>1223</v>
      </c>
      <c r="G132" t="s">
        <v>867</v>
      </c>
      <c r="H132" t="s">
        <v>853</v>
      </c>
      <c r="I132" t="s">
        <v>380</v>
      </c>
      <c r="W132" s="5">
        <v>2003</v>
      </c>
      <c r="X132" s="5">
        <f>COUNTIFS($H$3:$H$608,"swe",$D$3:$D$608,"2003")</f>
        <v>6</v>
      </c>
      <c r="AG132" s="6">
        <v>2006</v>
      </c>
      <c r="AH132" s="6">
        <f>COUNTIFS($D$3:$D$608,"2006", $I$3:$I$608,"German letters")+COUNTIFS($D$3:$D$608,"2006", $I$3:$I$608,"German miscellaneous writings")+3</f>
        <v>3</v>
      </c>
    </row>
    <row r="133" spans="1:34" x14ac:dyDescent="0.2">
      <c r="A133" t="s">
        <v>447</v>
      </c>
      <c r="B133" t="s">
        <v>448</v>
      </c>
      <c r="C133" t="s">
        <v>448</v>
      </c>
      <c r="D133">
        <v>2002</v>
      </c>
      <c r="E133" t="s">
        <v>449</v>
      </c>
      <c r="F133" t="s">
        <v>1227</v>
      </c>
      <c r="G133" t="s">
        <v>450</v>
      </c>
      <c r="H133" t="s">
        <v>451</v>
      </c>
      <c r="I133" t="s">
        <v>452</v>
      </c>
      <c r="W133" s="6">
        <v>2004</v>
      </c>
      <c r="X133" s="6">
        <f>COUNTIFS($H$3:$H$608,"swe",$D$3:$D$608,"2004")</f>
        <v>7</v>
      </c>
      <c r="AG133" s="5">
        <v>2007</v>
      </c>
      <c r="AH133" s="5">
        <f>COUNTIFS($D$3:$D$608,"2007", $I$3:$I$608,"German letters")+COUNTIFS($D$3:$D$608,"2007", $I$3:$I$608,"German miscellaneous writings")+1</f>
        <v>2</v>
      </c>
    </row>
    <row r="134" spans="1:34" x14ac:dyDescent="0.2">
      <c r="A134" t="s">
        <v>704</v>
      </c>
      <c r="B134" t="s">
        <v>34</v>
      </c>
      <c r="C134" t="s">
        <v>34</v>
      </c>
      <c r="D134">
        <v>2003</v>
      </c>
      <c r="E134" t="s">
        <v>637</v>
      </c>
      <c r="F134" t="s">
        <v>660</v>
      </c>
      <c r="G134" t="s">
        <v>37</v>
      </c>
      <c r="H134" t="s">
        <v>639</v>
      </c>
      <c r="I134" t="s">
        <v>463</v>
      </c>
      <c r="W134" s="5">
        <v>2005</v>
      </c>
      <c r="X134" s="5">
        <f>COUNTIFS($H$3:$H$608,"swe",$D$3:$D$608,"2005")</f>
        <v>3</v>
      </c>
      <c r="AG134" s="6">
        <v>2008</v>
      </c>
      <c r="AH134" s="6">
        <f>COUNTIFS($D$3:$D$608,"2008", $I$3:$I$608,"German letters")+COUNTIFS($D$3:$D$608,"2008", $I$3:$I$608,"German miscellaneous writings")+3</f>
        <v>3</v>
      </c>
    </row>
    <row r="135" spans="1:34" x14ac:dyDescent="0.2">
      <c r="A135" t="s">
        <v>956</v>
      </c>
      <c r="B135" t="s">
        <v>957</v>
      </c>
      <c r="C135" t="s">
        <v>957</v>
      </c>
      <c r="D135">
        <v>1995</v>
      </c>
      <c r="E135" t="s">
        <v>936</v>
      </c>
      <c r="F135" t="s">
        <v>958</v>
      </c>
      <c r="G135" t="s">
        <v>959</v>
      </c>
      <c r="H135" t="s">
        <v>938</v>
      </c>
      <c r="I135" t="s">
        <v>8</v>
      </c>
      <c r="W135" s="6">
        <v>2006</v>
      </c>
      <c r="X135" s="6">
        <f>COUNTIFS($H$3:$H$608,"swe",$D$3:$D$608,"2006")</f>
        <v>6</v>
      </c>
      <c r="AG135" s="5">
        <v>2009</v>
      </c>
      <c r="AH135" s="5">
        <f>COUNTIFS($D$3:$D$608,"2009", $I$3:$I$608,"German letters")+COUNTIFS($D$3:$D$608,"2009", $I$3:$I$608,"German miscellaneous writings")+1</f>
        <v>1</v>
      </c>
    </row>
    <row r="136" spans="1:34" x14ac:dyDescent="0.2">
      <c r="A136" t="s">
        <v>471</v>
      </c>
      <c r="B136" t="s">
        <v>4</v>
      </c>
      <c r="C136" t="s">
        <v>4</v>
      </c>
      <c r="D136">
        <v>2002</v>
      </c>
      <c r="E136" t="s">
        <v>472</v>
      </c>
      <c r="F136" t="s">
        <v>1229</v>
      </c>
      <c r="G136" t="s">
        <v>473</v>
      </c>
      <c r="H136" t="s">
        <v>462</v>
      </c>
      <c r="I136" t="s">
        <v>463</v>
      </c>
      <c r="W136" s="5">
        <v>2007</v>
      </c>
      <c r="X136" s="5">
        <f>COUNTIFS($H$3:$H$608,"swe",$D$3:$D$608,"2007")</f>
        <v>8</v>
      </c>
      <c r="AG136" s="6">
        <v>2010</v>
      </c>
      <c r="AH136" s="6">
        <f>COUNTIFS($D$3:$D$608,"2010", $I$3:$I$608,"German letters")+COUNTIFS($D$3:$D$608,"2010", $I$3:$I$608,"German miscellaneous writings")+1</f>
        <v>1</v>
      </c>
    </row>
    <row r="137" spans="1:34" x14ac:dyDescent="0.2">
      <c r="A137" t="s">
        <v>471</v>
      </c>
      <c r="B137" t="s">
        <v>4</v>
      </c>
      <c r="C137" t="s">
        <v>4</v>
      </c>
      <c r="D137">
        <v>2008</v>
      </c>
      <c r="E137" t="s">
        <v>472</v>
      </c>
      <c r="F137" t="s">
        <v>1229</v>
      </c>
      <c r="G137" t="s">
        <v>475</v>
      </c>
      <c r="H137" t="s">
        <v>462</v>
      </c>
      <c r="I137" t="s">
        <v>463</v>
      </c>
      <c r="W137" s="6">
        <v>2008</v>
      </c>
      <c r="X137" s="6">
        <f>COUNTIFS($H$3:$H$608,"swe",$D$3:$D$608,"2008")</f>
        <v>4</v>
      </c>
      <c r="AG137" s="4" t="s">
        <v>1310</v>
      </c>
      <c r="AH137" s="4">
        <f>SUM(AH116:AH136)</f>
        <v>37</v>
      </c>
    </row>
    <row r="138" spans="1:34" x14ac:dyDescent="0.2">
      <c r="A138" t="s">
        <v>500</v>
      </c>
      <c r="B138" t="s">
        <v>4</v>
      </c>
      <c r="C138" t="s">
        <v>4</v>
      </c>
      <c r="D138">
        <v>1993</v>
      </c>
      <c r="E138" t="s">
        <v>472</v>
      </c>
      <c r="F138" t="s">
        <v>1229</v>
      </c>
      <c r="G138" t="s">
        <v>492</v>
      </c>
      <c r="H138" t="s">
        <v>462</v>
      </c>
      <c r="I138" t="s">
        <v>463</v>
      </c>
      <c r="W138" s="5">
        <v>2009</v>
      </c>
      <c r="X138" s="5">
        <f>COUNTIFS($H$3:$H$608,"swe",$D$3:$D$608,"2009")</f>
        <v>3</v>
      </c>
    </row>
    <row r="139" spans="1:34" x14ac:dyDescent="0.2">
      <c r="A139" t="s">
        <v>517</v>
      </c>
      <c r="B139" t="s">
        <v>4</v>
      </c>
      <c r="C139" t="s">
        <v>4</v>
      </c>
      <c r="D139">
        <v>2002</v>
      </c>
      <c r="E139" t="s">
        <v>518</v>
      </c>
      <c r="F139" t="s">
        <v>519</v>
      </c>
      <c r="G139" t="s">
        <v>369</v>
      </c>
      <c r="H139" t="s">
        <v>516</v>
      </c>
      <c r="I139" t="s">
        <v>520</v>
      </c>
      <c r="W139" s="6">
        <v>2010</v>
      </c>
      <c r="X139" s="6">
        <f>COUNTIFS($H$3:$H$608,"swe",$D$3:$D$608,"2010")</f>
        <v>4</v>
      </c>
    </row>
    <row r="140" spans="1:34" x14ac:dyDescent="0.2">
      <c r="A140" t="s">
        <v>517</v>
      </c>
      <c r="B140" t="s">
        <v>4</v>
      </c>
      <c r="C140" t="s">
        <v>4</v>
      </c>
      <c r="D140">
        <v>2007</v>
      </c>
      <c r="E140" t="s">
        <v>518</v>
      </c>
      <c r="F140" t="s">
        <v>519</v>
      </c>
      <c r="G140" t="s">
        <v>369</v>
      </c>
      <c r="H140" t="s">
        <v>516</v>
      </c>
      <c r="I140" t="s">
        <v>520</v>
      </c>
      <c r="W140" s="4" t="s">
        <v>1310</v>
      </c>
      <c r="X140" s="4">
        <f>SUM(X119:X139)</f>
        <v>115</v>
      </c>
    </row>
    <row r="141" spans="1:34" x14ac:dyDescent="0.2">
      <c r="A141" t="s">
        <v>517</v>
      </c>
      <c r="B141" t="s">
        <v>540</v>
      </c>
      <c r="C141" t="s">
        <v>540</v>
      </c>
      <c r="D141">
        <v>2008</v>
      </c>
      <c r="E141" t="s">
        <v>518</v>
      </c>
      <c r="F141" t="s">
        <v>519</v>
      </c>
      <c r="G141" t="s">
        <v>369</v>
      </c>
      <c r="H141" t="s">
        <v>516</v>
      </c>
      <c r="I141" t="s">
        <v>520</v>
      </c>
    </row>
    <row r="142" spans="1:34" x14ac:dyDescent="0.2">
      <c r="A142" t="s">
        <v>517</v>
      </c>
      <c r="B142" t="s">
        <v>117</v>
      </c>
      <c r="C142" t="s">
        <v>117</v>
      </c>
      <c r="D142">
        <v>2008</v>
      </c>
      <c r="E142" t="s">
        <v>518</v>
      </c>
      <c r="F142" t="s">
        <v>519</v>
      </c>
      <c r="G142" t="s">
        <v>369</v>
      </c>
      <c r="H142" t="s">
        <v>516</v>
      </c>
      <c r="I142" t="s">
        <v>520</v>
      </c>
    </row>
    <row r="143" spans="1:34" x14ac:dyDescent="0.2">
      <c r="A143" t="s">
        <v>1125</v>
      </c>
      <c r="B143" t="s">
        <v>4</v>
      </c>
      <c r="C143" t="s">
        <v>4</v>
      </c>
      <c r="D143">
        <v>2000</v>
      </c>
      <c r="E143" t="s">
        <v>1105</v>
      </c>
      <c r="F143" t="s">
        <v>1254</v>
      </c>
      <c r="G143" t="s">
        <v>723</v>
      </c>
      <c r="H143" t="s">
        <v>1103</v>
      </c>
      <c r="I143" t="s">
        <v>452</v>
      </c>
    </row>
    <row r="144" spans="1:34" x14ac:dyDescent="0.2">
      <c r="A144" t="s">
        <v>103</v>
      </c>
      <c r="B144" t="s">
        <v>4</v>
      </c>
      <c r="C144" t="s">
        <v>4</v>
      </c>
      <c r="D144">
        <v>2008</v>
      </c>
      <c r="E144" t="s">
        <v>5</v>
      </c>
      <c r="F144" t="s">
        <v>104</v>
      </c>
      <c r="G144" t="s">
        <v>105</v>
      </c>
      <c r="H144" t="s">
        <v>7</v>
      </c>
      <c r="I144" t="s">
        <v>8</v>
      </c>
    </row>
    <row r="145" spans="1:9" x14ac:dyDescent="0.2">
      <c r="A145" t="s">
        <v>9</v>
      </c>
      <c r="B145" t="s">
        <v>10</v>
      </c>
      <c r="C145" t="s">
        <v>11</v>
      </c>
      <c r="D145">
        <v>2003</v>
      </c>
      <c r="E145" t="s">
        <v>12</v>
      </c>
      <c r="F145" t="s">
        <v>13</v>
      </c>
      <c r="G145" t="s">
        <v>14</v>
      </c>
      <c r="H145" t="s">
        <v>7</v>
      </c>
      <c r="I145" t="s">
        <v>8</v>
      </c>
    </row>
    <row r="146" spans="1:9" x14ac:dyDescent="0.2">
      <c r="A146" t="s">
        <v>558</v>
      </c>
      <c r="B146" t="s">
        <v>4</v>
      </c>
      <c r="C146" t="s">
        <v>4</v>
      </c>
      <c r="D146">
        <v>2001</v>
      </c>
      <c r="E146" t="s">
        <v>518</v>
      </c>
      <c r="F146" t="s">
        <v>519</v>
      </c>
      <c r="G146" t="s">
        <v>41</v>
      </c>
      <c r="H146" t="s">
        <v>516</v>
      </c>
      <c r="I146" t="s">
        <v>520</v>
      </c>
    </row>
    <row r="147" spans="1:9" x14ac:dyDescent="0.2">
      <c r="A147" t="s">
        <v>558</v>
      </c>
      <c r="B147" t="s">
        <v>4</v>
      </c>
      <c r="C147" t="s">
        <v>4</v>
      </c>
      <c r="D147">
        <v>2005</v>
      </c>
      <c r="E147" t="s">
        <v>518</v>
      </c>
      <c r="F147" t="s">
        <v>519</v>
      </c>
      <c r="G147" t="s">
        <v>41</v>
      </c>
      <c r="H147" t="s">
        <v>516</v>
      </c>
      <c r="I147" t="s">
        <v>520</v>
      </c>
    </row>
    <row r="148" spans="1:9" x14ac:dyDescent="0.2">
      <c r="A148" t="s">
        <v>558</v>
      </c>
      <c r="B148" t="s">
        <v>4</v>
      </c>
      <c r="C148" t="s">
        <v>4</v>
      </c>
      <c r="D148">
        <v>2007</v>
      </c>
      <c r="E148" t="s">
        <v>518</v>
      </c>
      <c r="F148" t="s">
        <v>519</v>
      </c>
      <c r="G148" t="s">
        <v>41</v>
      </c>
      <c r="H148" t="s">
        <v>516</v>
      </c>
      <c r="I148" t="s">
        <v>520</v>
      </c>
    </row>
    <row r="149" spans="1:9" x14ac:dyDescent="0.2">
      <c r="A149" t="s">
        <v>253</v>
      </c>
      <c r="B149" t="s">
        <v>180</v>
      </c>
      <c r="C149" t="s">
        <v>181</v>
      </c>
      <c r="D149">
        <v>2008</v>
      </c>
      <c r="E149" t="s">
        <v>153</v>
      </c>
      <c r="F149" t="s">
        <v>182</v>
      </c>
      <c r="G149" t="s">
        <v>27</v>
      </c>
      <c r="H149" t="s">
        <v>156</v>
      </c>
      <c r="I149" t="s">
        <v>8</v>
      </c>
    </row>
    <row r="150" spans="1:9" x14ac:dyDescent="0.2">
      <c r="A150" t="s">
        <v>179</v>
      </c>
      <c r="B150" t="s">
        <v>180</v>
      </c>
      <c r="C150" t="s">
        <v>181</v>
      </c>
      <c r="D150">
        <v>2008</v>
      </c>
      <c r="E150" t="s">
        <v>153</v>
      </c>
      <c r="F150" t="s">
        <v>182</v>
      </c>
      <c r="G150" t="s">
        <v>27</v>
      </c>
      <c r="H150" t="s">
        <v>156</v>
      </c>
      <c r="I150" t="s">
        <v>8</v>
      </c>
    </row>
    <row r="151" spans="1:9" x14ac:dyDescent="0.2">
      <c r="A151" t="s">
        <v>459</v>
      </c>
      <c r="B151" t="s">
        <v>4</v>
      </c>
      <c r="C151" t="s">
        <v>4</v>
      </c>
      <c r="D151">
        <v>1994</v>
      </c>
      <c r="E151" t="s">
        <v>460</v>
      </c>
      <c r="F151" t="s">
        <v>1229</v>
      </c>
      <c r="G151" t="s">
        <v>461</v>
      </c>
      <c r="H151" t="s">
        <v>462</v>
      </c>
      <c r="I151" t="s">
        <v>463</v>
      </c>
    </row>
    <row r="152" spans="1:9" x14ac:dyDescent="0.2">
      <c r="A152" t="s">
        <v>459</v>
      </c>
      <c r="B152" t="s">
        <v>117</v>
      </c>
      <c r="C152" t="s">
        <v>117</v>
      </c>
      <c r="D152">
        <v>1997</v>
      </c>
      <c r="E152" t="s">
        <v>460</v>
      </c>
      <c r="F152" t="s">
        <v>1229</v>
      </c>
      <c r="G152" t="s">
        <v>461</v>
      </c>
      <c r="H152" t="s">
        <v>462</v>
      </c>
      <c r="I152" t="s">
        <v>463</v>
      </c>
    </row>
    <row r="153" spans="1:9" x14ac:dyDescent="0.2">
      <c r="A153" t="s">
        <v>459</v>
      </c>
      <c r="B153" t="s">
        <v>4</v>
      </c>
      <c r="C153" t="s">
        <v>4</v>
      </c>
      <c r="D153">
        <v>2004</v>
      </c>
      <c r="E153" t="s">
        <v>460</v>
      </c>
      <c r="F153" t="s">
        <v>1229</v>
      </c>
      <c r="G153" t="s">
        <v>461</v>
      </c>
      <c r="H153" t="s">
        <v>462</v>
      </c>
      <c r="I153" t="s">
        <v>463</v>
      </c>
    </row>
    <row r="154" spans="1:9" x14ac:dyDescent="0.2">
      <c r="A154" t="s">
        <v>459</v>
      </c>
      <c r="B154" t="s">
        <v>4</v>
      </c>
      <c r="C154" t="s">
        <v>4</v>
      </c>
      <c r="D154">
        <v>2008</v>
      </c>
      <c r="E154" t="s">
        <v>460</v>
      </c>
      <c r="F154" t="s">
        <v>1229</v>
      </c>
      <c r="G154" t="s">
        <v>461</v>
      </c>
      <c r="H154" t="s">
        <v>462</v>
      </c>
      <c r="I154" t="s">
        <v>463</v>
      </c>
    </row>
    <row r="155" spans="1:9" x14ac:dyDescent="0.2">
      <c r="A155" t="s">
        <v>701</v>
      </c>
      <c r="B155" t="s">
        <v>270</v>
      </c>
      <c r="C155" t="s">
        <v>62</v>
      </c>
      <c r="D155">
        <v>1991</v>
      </c>
      <c r="E155" t="s">
        <v>637</v>
      </c>
      <c r="F155" t="s">
        <v>702</v>
      </c>
      <c r="G155" t="s">
        <v>703</v>
      </c>
      <c r="H155" t="s">
        <v>639</v>
      </c>
      <c r="I155" t="s">
        <v>463</v>
      </c>
    </row>
    <row r="156" spans="1:9" x14ac:dyDescent="0.2">
      <c r="A156" t="s">
        <v>1193</v>
      </c>
      <c r="B156" t="s">
        <v>4</v>
      </c>
      <c r="C156" t="s">
        <v>4</v>
      </c>
      <c r="D156">
        <v>2005</v>
      </c>
      <c r="E156" t="s">
        <v>1180</v>
      </c>
      <c r="F156" t="s">
        <v>1194</v>
      </c>
      <c r="G156" t="s">
        <v>353</v>
      </c>
      <c r="H156" t="s">
        <v>1158</v>
      </c>
      <c r="I156" t="s">
        <v>463</v>
      </c>
    </row>
    <row r="157" spans="1:9" x14ac:dyDescent="0.2">
      <c r="A157" t="s">
        <v>618</v>
      </c>
      <c r="B157" t="s">
        <v>4</v>
      </c>
      <c r="C157" t="s">
        <v>4</v>
      </c>
      <c r="D157">
        <v>2005</v>
      </c>
      <c r="E157" t="s">
        <v>536</v>
      </c>
      <c r="F157" t="s">
        <v>619</v>
      </c>
      <c r="G157" t="s">
        <v>620</v>
      </c>
      <c r="H157" t="s">
        <v>516</v>
      </c>
      <c r="I157" t="s">
        <v>8</v>
      </c>
    </row>
    <row r="158" spans="1:9" x14ac:dyDescent="0.2">
      <c r="A158" t="s">
        <v>1058</v>
      </c>
      <c r="B158" t="s">
        <v>80</v>
      </c>
      <c r="C158" t="s">
        <v>17</v>
      </c>
      <c r="D158">
        <v>2002</v>
      </c>
      <c r="E158" t="s">
        <v>1059</v>
      </c>
      <c r="F158" t="s">
        <v>1248</v>
      </c>
      <c r="G158" t="s">
        <v>1060</v>
      </c>
      <c r="H158" t="s">
        <v>1061</v>
      </c>
      <c r="I158" t="s">
        <v>452</v>
      </c>
    </row>
    <row r="159" spans="1:9" x14ac:dyDescent="0.2">
      <c r="A159" t="s">
        <v>613</v>
      </c>
      <c r="B159" t="s">
        <v>280</v>
      </c>
      <c r="C159" t="s">
        <v>280</v>
      </c>
      <c r="D159">
        <v>1994</v>
      </c>
      <c r="E159" t="s">
        <v>522</v>
      </c>
      <c r="F159" t="s">
        <v>614</v>
      </c>
      <c r="G159" t="s">
        <v>601</v>
      </c>
      <c r="H159" t="s">
        <v>516</v>
      </c>
      <c r="I159" t="s">
        <v>524</v>
      </c>
    </row>
    <row r="160" spans="1:9" x14ac:dyDescent="0.2">
      <c r="A160" t="s">
        <v>1107</v>
      </c>
      <c r="B160" t="s">
        <v>62</v>
      </c>
      <c r="C160" t="s">
        <v>62</v>
      </c>
      <c r="D160">
        <v>2002</v>
      </c>
      <c r="E160" t="s">
        <v>1108</v>
      </c>
      <c r="F160" t="s">
        <v>1109</v>
      </c>
      <c r="G160" t="s">
        <v>1110</v>
      </c>
      <c r="H160" t="s">
        <v>1103</v>
      </c>
      <c r="I160" t="s">
        <v>452</v>
      </c>
    </row>
    <row r="161" spans="1:9" x14ac:dyDescent="0.2">
      <c r="A161" t="s">
        <v>1171</v>
      </c>
      <c r="B161" t="s">
        <v>4</v>
      </c>
      <c r="C161" t="s">
        <v>4</v>
      </c>
      <c r="D161">
        <v>2009</v>
      </c>
      <c r="E161" t="s">
        <v>1157</v>
      </c>
      <c r="F161" t="s">
        <v>1172</v>
      </c>
      <c r="G161" t="s">
        <v>1167</v>
      </c>
      <c r="H161" t="s">
        <v>1158</v>
      </c>
      <c r="I161" t="s">
        <v>8</v>
      </c>
    </row>
    <row r="162" spans="1:9" x14ac:dyDescent="0.2">
      <c r="A162" t="s">
        <v>343</v>
      </c>
      <c r="B162" t="s">
        <v>62</v>
      </c>
      <c r="C162" t="s">
        <v>62</v>
      </c>
      <c r="D162">
        <v>1997</v>
      </c>
      <c r="E162" t="s">
        <v>172</v>
      </c>
      <c r="F162" t="s">
        <v>255</v>
      </c>
      <c r="G162" t="s">
        <v>344</v>
      </c>
      <c r="H162" t="s">
        <v>156</v>
      </c>
      <c r="I162" t="s">
        <v>174</v>
      </c>
    </row>
    <row r="163" spans="1:9" x14ac:dyDescent="0.2">
      <c r="A163" t="s">
        <v>333</v>
      </c>
      <c r="B163" t="s">
        <v>334</v>
      </c>
      <c r="C163" t="s">
        <v>334</v>
      </c>
      <c r="D163">
        <v>2008</v>
      </c>
      <c r="E163" t="s">
        <v>192</v>
      </c>
      <c r="F163" t="s">
        <v>335</v>
      </c>
      <c r="G163" t="s">
        <v>336</v>
      </c>
      <c r="H163" t="s">
        <v>156</v>
      </c>
      <c r="I163" t="s">
        <v>195</v>
      </c>
    </row>
    <row r="164" spans="1:9" x14ac:dyDescent="0.2">
      <c r="A164" t="s">
        <v>785</v>
      </c>
      <c r="B164" t="s">
        <v>62</v>
      </c>
      <c r="C164" t="s">
        <v>62</v>
      </c>
      <c r="D164">
        <v>1991</v>
      </c>
      <c r="E164" t="s">
        <v>637</v>
      </c>
      <c r="F164" t="s">
        <v>759</v>
      </c>
      <c r="G164" t="s">
        <v>786</v>
      </c>
      <c r="H164" t="s">
        <v>639</v>
      </c>
      <c r="I164" t="s">
        <v>463</v>
      </c>
    </row>
    <row r="165" spans="1:9" x14ac:dyDescent="0.2">
      <c r="A165" t="s">
        <v>566</v>
      </c>
      <c r="B165" t="s">
        <v>4</v>
      </c>
      <c r="C165" t="s">
        <v>4</v>
      </c>
      <c r="D165">
        <v>2010</v>
      </c>
      <c r="E165" t="s">
        <v>518</v>
      </c>
      <c r="F165" t="s">
        <v>519</v>
      </c>
      <c r="G165" t="s">
        <v>369</v>
      </c>
      <c r="H165" t="s">
        <v>516</v>
      </c>
      <c r="I165" t="s">
        <v>520</v>
      </c>
    </row>
    <row r="166" spans="1:9" x14ac:dyDescent="0.2">
      <c r="A166" t="s">
        <v>778</v>
      </c>
      <c r="B166" t="s">
        <v>215</v>
      </c>
      <c r="C166" t="s">
        <v>215</v>
      </c>
      <c r="D166">
        <v>2004</v>
      </c>
      <c r="E166" t="s">
        <v>637</v>
      </c>
      <c r="F166" t="s">
        <v>660</v>
      </c>
      <c r="G166" t="s">
        <v>64</v>
      </c>
      <c r="H166" t="s">
        <v>639</v>
      </c>
      <c r="I166" t="s">
        <v>463</v>
      </c>
    </row>
    <row r="167" spans="1:9" x14ac:dyDescent="0.2">
      <c r="A167" t="s">
        <v>29</v>
      </c>
      <c r="B167" t="s">
        <v>30</v>
      </c>
      <c r="C167" t="s">
        <v>30</v>
      </c>
      <c r="D167">
        <v>2006</v>
      </c>
      <c r="E167" t="s">
        <v>5</v>
      </c>
      <c r="F167" t="s">
        <v>31</v>
      </c>
      <c r="G167" t="s">
        <v>32</v>
      </c>
      <c r="H167" t="s">
        <v>7</v>
      </c>
      <c r="I167" t="s">
        <v>8</v>
      </c>
    </row>
    <row r="168" spans="1:9" x14ac:dyDescent="0.2">
      <c r="A168" t="s">
        <v>68</v>
      </c>
      <c r="B168" t="s">
        <v>69</v>
      </c>
      <c r="C168" t="s">
        <v>69</v>
      </c>
      <c r="D168">
        <v>2009</v>
      </c>
      <c r="E168" t="s">
        <v>70</v>
      </c>
      <c r="F168" t="s">
        <v>71</v>
      </c>
      <c r="G168" t="s">
        <v>72</v>
      </c>
      <c r="H168" t="s">
        <v>7</v>
      </c>
      <c r="I168" t="s">
        <v>73</v>
      </c>
    </row>
    <row r="169" spans="1:9" x14ac:dyDescent="0.2">
      <c r="A169" t="s">
        <v>400</v>
      </c>
      <c r="B169" t="s">
        <v>69</v>
      </c>
      <c r="C169" t="s">
        <v>69</v>
      </c>
      <c r="D169">
        <v>1999</v>
      </c>
      <c r="E169" t="s">
        <v>192</v>
      </c>
      <c r="F169" t="s">
        <v>401</v>
      </c>
      <c r="G169" t="s">
        <v>229</v>
      </c>
      <c r="H169" t="s">
        <v>156</v>
      </c>
      <c r="I169" t="s">
        <v>195</v>
      </c>
    </row>
    <row r="170" spans="1:9" x14ac:dyDescent="0.2">
      <c r="A170" t="s">
        <v>858</v>
      </c>
      <c r="B170" t="s">
        <v>231</v>
      </c>
      <c r="C170" t="s">
        <v>231</v>
      </c>
      <c r="D170">
        <v>1995</v>
      </c>
      <c r="E170" t="s">
        <v>852</v>
      </c>
      <c r="F170" t="s">
        <v>1239</v>
      </c>
      <c r="G170" t="s">
        <v>1238</v>
      </c>
      <c r="H170" t="s">
        <v>853</v>
      </c>
      <c r="I170" t="s">
        <v>8</v>
      </c>
    </row>
    <row r="171" spans="1:9" x14ac:dyDescent="0.2">
      <c r="A171" t="s">
        <v>1041</v>
      </c>
      <c r="B171" t="s">
        <v>62</v>
      </c>
      <c r="C171" t="s">
        <v>62</v>
      </c>
      <c r="D171">
        <v>2002</v>
      </c>
      <c r="E171" t="s">
        <v>1005</v>
      </c>
      <c r="F171" t="s">
        <v>1042</v>
      </c>
      <c r="G171" t="s">
        <v>545</v>
      </c>
      <c r="H171" t="s">
        <v>1008</v>
      </c>
      <c r="I171" t="s">
        <v>38</v>
      </c>
    </row>
    <row r="172" spans="1:9" x14ac:dyDescent="0.2">
      <c r="A172" t="s">
        <v>833</v>
      </c>
      <c r="B172" t="s">
        <v>4</v>
      </c>
      <c r="C172" t="s">
        <v>4</v>
      </c>
      <c r="D172">
        <v>2010</v>
      </c>
      <c r="E172" t="s">
        <v>834</v>
      </c>
      <c r="F172" t="s">
        <v>1223</v>
      </c>
      <c r="G172" t="s">
        <v>835</v>
      </c>
      <c r="H172" t="s">
        <v>836</v>
      </c>
      <c r="I172" t="s">
        <v>8</v>
      </c>
    </row>
    <row r="173" spans="1:9" x14ac:dyDescent="0.2">
      <c r="A173" t="s">
        <v>748</v>
      </c>
      <c r="B173" t="s">
        <v>62</v>
      </c>
      <c r="C173" t="s">
        <v>62</v>
      </c>
      <c r="D173">
        <v>1993</v>
      </c>
      <c r="E173" t="s">
        <v>637</v>
      </c>
      <c r="F173" t="s">
        <v>749</v>
      </c>
      <c r="G173" t="s">
        <v>545</v>
      </c>
      <c r="H173" t="s">
        <v>639</v>
      </c>
      <c r="I173" t="s">
        <v>463</v>
      </c>
    </row>
    <row r="174" spans="1:9" x14ac:dyDescent="0.2">
      <c r="A174" t="s">
        <v>653</v>
      </c>
      <c r="B174" t="s">
        <v>62</v>
      </c>
      <c r="C174" t="s">
        <v>62</v>
      </c>
      <c r="D174">
        <v>1991</v>
      </c>
      <c r="E174" t="s">
        <v>654</v>
      </c>
      <c r="F174" t="s">
        <v>655</v>
      </c>
      <c r="G174" t="s">
        <v>54</v>
      </c>
      <c r="H174" t="s">
        <v>639</v>
      </c>
      <c r="I174" t="s">
        <v>8</v>
      </c>
    </row>
    <row r="175" spans="1:9" x14ac:dyDescent="0.2">
      <c r="A175" t="s">
        <v>653</v>
      </c>
      <c r="B175" t="s">
        <v>62</v>
      </c>
      <c r="C175" t="s">
        <v>62</v>
      </c>
      <c r="D175">
        <v>1999</v>
      </c>
      <c r="E175" t="s">
        <v>654</v>
      </c>
      <c r="F175" t="s">
        <v>655</v>
      </c>
      <c r="G175" t="s">
        <v>54</v>
      </c>
      <c r="H175" t="s">
        <v>639</v>
      </c>
      <c r="I175" t="s">
        <v>8</v>
      </c>
    </row>
    <row r="176" spans="1:9" x14ac:dyDescent="0.2">
      <c r="A176" t="s">
        <v>837</v>
      </c>
      <c r="B176" t="s">
        <v>4</v>
      </c>
      <c r="C176" t="s">
        <v>4</v>
      </c>
      <c r="D176">
        <v>2002</v>
      </c>
      <c r="E176" t="s">
        <v>378</v>
      </c>
      <c r="F176" t="s">
        <v>1223</v>
      </c>
      <c r="G176" t="s">
        <v>1257</v>
      </c>
      <c r="H176" t="s">
        <v>836</v>
      </c>
      <c r="I176" t="s">
        <v>380</v>
      </c>
    </row>
    <row r="177" spans="1:9" x14ac:dyDescent="0.2">
      <c r="A177" t="s">
        <v>248</v>
      </c>
      <c r="B177" t="s">
        <v>249</v>
      </c>
      <c r="C177" t="s">
        <v>249</v>
      </c>
      <c r="D177">
        <v>2001</v>
      </c>
      <c r="E177" t="s">
        <v>220</v>
      </c>
      <c r="F177" t="s">
        <v>209</v>
      </c>
      <c r="G177" t="s">
        <v>250</v>
      </c>
      <c r="H177" t="s">
        <v>156</v>
      </c>
      <c r="I177" t="s">
        <v>38</v>
      </c>
    </row>
    <row r="178" spans="1:9" x14ac:dyDescent="0.2">
      <c r="A178" t="s">
        <v>688</v>
      </c>
      <c r="B178" t="s">
        <v>4</v>
      </c>
      <c r="C178" t="s">
        <v>4</v>
      </c>
      <c r="D178">
        <v>2010</v>
      </c>
      <c r="E178" t="s">
        <v>641</v>
      </c>
      <c r="F178" t="s">
        <v>689</v>
      </c>
      <c r="G178" t="s">
        <v>1257</v>
      </c>
      <c r="H178" t="s">
        <v>639</v>
      </c>
      <c r="I178" t="s">
        <v>8</v>
      </c>
    </row>
    <row r="179" spans="1:9" x14ac:dyDescent="0.2">
      <c r="A179" t="s">
        <v>734</v>
      </c>
      <c r="B179" t="s">
        <v>4</v>
      </c>
      <c r="C179" t="s">
        <v>4</v>
      </c>
      <c r="D179">
        <v>2010</v>
      </c>
      <c r="E179" t="s">
        <v>641</v>
      </c>
      <c r="F179" t="s">
        <v>689</v>
      </c>
      <c r="G179" t="s">
        <v>1257</v>
      </c>
      <c r="H179" t="s">
        <v>639</v>
      </c>
      <c r="I179" t="s">
        <v>8</v>
      </c>
    </row>
    <row r="180" spans="1:9" x14ac:dyDescent="0.2">
      <c r="A180" t="s">
        <v>771</v>
      </c>
      <c r="B180" t="s">
        <v>4</v>
      </c>
      <c r="C180" t="s">
        <v>4</v>
      </c>
      <c r="D180">
        <v>2010</v>
      </c>
      <c r="E180" t="s">
        <v>641</v>
      </c>
      <c r="F180" t="s">
        <v>689</v>
      </c>
      <c r="G180" t="s">
        <v>1257</v>
      </c>
      <c r="H180" t="s">
        <v>639</v>
      </c>
      <c r="I180" t="s">
        <v>8</v>
      </c>
    </row>
    <row r="181" spans="1:9" x14ac:dyDescent="0.2">
      <c r="A181" t="s">
        <v>726</v>
      </c>
      <c r="B181" t="s">
        <v>4</v>
      </c>
      <c r="C181" t="s">
        <v>4</v>
      </c>
      <c r="D181">
        <v>2010</v>
      </c>
      <c r="E181" t="s">
        <v>641</v>
      </c>
      <c r="F181" t="s">
        <v>689</v>
      </c>
      <c r="G181" t="s">
        <v>1257</v>
      </c>
      <c r="H181" t="s">
        <v>639</v>
      </c>
      <c r="I181" t="s">
        <v>8</v>
      </c>
    </row>
    <row r="182" spans="1:9" x14ac:dyDescent="0.2">
      <c r="A182" t="s">
        <v>1155</v>
      </c>
      <c r="B182" t="s">
        <v>80</v>
      </c>
      <c r="C182" t="s">
        <v>17</v>
      </c>
      <c r="D182">
        <v>1995</v>
      </c>
      <c r="E182" t="s">
        <v>1145</v>
      </c>
      <c r="F182" t="s">
        <v>1150</v>
      </c>
      <c r="G182" t="s">
        <v>1147</v>
      </c>
      <c r="H182" t="s">
        <v>1148</v>
      </c>
      <c r="I182" t="s">
        <v>1093</v>
      </c>
    </row>
    <row r="183" spans="1:9" x14ac:dyDescent="0.2">
      <c r="A183" t="s">
        <v>79</v>
      </c>
      <c r="B183" t="s">
        <v>80</v>
      </c>
      <c r="C183" t="s">
        <v>17</v>
      </c>
      <c r="D183">
        <v>2003</v>
      </c>
      <c r="E183" t="s">
        <v>20</v>
      </c>
      <c r="F183" t="s">
        <v>81</v>
      </c>
      <c r="G183" t="s">
        <v>41</v>
      </c>
      <c r="H183" t="s">
        <v>7</v>
      </c>
      <c r="I183" t="s">
        <v>23</v>
      </c>
    </row>
    <row r="184" spans="1:9" x14ac:dyDescent="0.2">
      <c r="A184" t="s">
        <v>92</v>
      </c>
      <c r="B184" t="s">
        <v>4</v>
      </c>
      <c r="C184" t="s">
        <v>4</v>
      </c>
      <c r="D184">
        <v>1999</v>
      </c>
      <c r="E184" t="s">
        <v>5</v>
      </c>
      <c r="F184" t="s">
        <v>40</v>
      </c>
      <c r="G184" t="s">
        <v>41</v>
      </c>
      <c r="H184" t="s">
        <v>7</v>
      </c>
      <c r="I184" t="s">
        <v>8</v>
      </c>
    </row>
    <row r="185" spans="1:9" x14ac:dyDescent="0.2">
      <c r="A185" t="s">
        <v>142</v>
      </c>
      <c r="B185" t="s">
        <v>30</v>
      </c>
      <c r="C185" t="s">
        <v>30</v>
      </c>
      <c r="D185">
        <v>2006</v>
      </c>
      <c r="E185" t="s">
        <v>5</v>
      </c>
      <c r="F185" t="s">
        <v>143</v>
      </c>
      <c r="G185" t="s">
        <v>134</v>
      </c>
      <c r="H185" t="s">
        <v>7</v>
      </c>
      <c r="I185" t="s">
        <v>8</v>
      </c>
    </row>
    <row r="186" spans="1:9" x14ac:dyDescent="0.2">
      <c r="A186" t="s">
        <v>861</v>
      </c>
      <c r="B186" t="s">
        <v>88</v>
      </c>
      <c r="C186" t="s">
        <v>89</v>
      </c>
      <c r="D186">
        <v>1990</v>
      </c>
      <c r="E186" t="s">
        <v>856</v>
      </c>
      <c r="F186" t="s">
        <v>1242</v>
      </c>
      <c r="G186" t="s">
        <v>703</v>
      </c>
      <c r="H186" t="s">
        <v>853</v>
      </c>
      <c r="I186" t="s">
        <v>463</v>
      </c>
    </row>
    <row r="187" spans="1:9" x14ac:dyDescent="0.2">
      <c r="A187" t="s">
        <v>227</v>
      </c>
      <c r="B187" t="s">
        <v>4</v>
      </c>
      <c r="C187" t="s">
        <v>4</v>
      </c>
      <c r="D187">
        <v>2002</v>
      </c>
      <c r="E187" t="s">
        <v>172</v>
      </c>
      <c r="F187" t="s">
        <v>228</v>
      </c>
      <c r="G187" t="s">
        <v>229</v>
      </c>
      <c r="H187" t="s">
        <v>156</v>
      </c>
      <c r="I187" t="s">
        <v>174</v>
      </c>
    </row>
    <row r="188" spans="1:9" x14ac:dyDescent="0.2">
      <c r="A188" t="s">
        <v>632</v>
      </c>
      <c r="B188" t="s">
        <v>62</v>
      </c>
      <c r="C188" t="s">
        <v>62</v>
      </c>
      <c r="D188">
        <v>1996</v>
      </c>
      <c r="E188" t="s">
        <v>633</v>
      </c>
      <c r="F188" t="s">
        <v>634</v>
      </c>
      <c r="G188" t="s">
        <v>369</v>
      </c>
      <c r="H188" t="s">
        <v>635</v>
      </c>
      <c r="I188" t="s">
        <v>1259</v>
      </c>
    </row>
    <row r="189" spans="1:9" x14ac:dyDescent="0.2">
      <c r="A189" t="s">
        <v>776</v>
      </c>
      <c r="B189" t="s">
        <v>4</v>
      </c>
      <c r="C189" t="s">
        <v>4</v>
      </c>
      <c r="D189">
        <v>1993</v>
      </c>
      <c r="E189" t="s">
        <v>641</v>
      </c>
      <c r="F189" t="s">
        <v>777</v>
      </c>
      <c r="G189" t="s">
        <v>650</v>
      </c>
      <c r="H189" t="s">
        <v>639</v>
      </c>
      <c r="I189" t="s">
        <v>8</v>
      </c>
    </row>
    <row r="190" spans="1:9" x14ac:dyDescent="0.2">
      <c r="A190" t="s">
        <v>774</v>
      </c>
      <c r="B190" t="s">
        <v>94</v>
      </c>
      <c r="C190" t="s">
        <v>94</v>
      </c>
      <c r="D190">
        <v>1993</v>
      </c>
      <c r="E190" t="s">
        <v>641</v>
      </c>
      <c r="F190" t="s">
        <v>775</v>
      </c>
      <c r="G190" t="s">
        <v>105</v>
      </c>
      <c r="H190" t="s">
        <v>639</v>
      </c>
      <c r="I190" t="s">
        <v>8</v>
      </c>
    </row>
    <row r="191" spans="1:9" x14ac:dyDescent="0.2">
      <c r="A191" t="s">
        <v>1044</v>
      </c>
      <c r="B191" t="s">
        <v>4</v>
      </c>
      <c r="C191" t="s">
        <v>4</v>
      </c>
      <c r="D191">
        <v>2002</v>
      </c>
      <c r="E191" t="s">
        <v>1023</v>
      </c>
      <c r="F191" t="s">
        <v>1030</v>
      </c>
      <c r="G191" t="s">
        <v>1031</v>
      </c>
      <c r="H191" t="s">
        <v>1008</v>
      </c>
      <c r="I191" t="s">
        <v>8</v>
      </c>
    </row>
    <row r="192" spans="1:9" x14ac:dyDescent="0.2">
      <c r="A192" t="s">
        <v>813</v>
      </c>
      <c r="B192" t="s">
        <v>62</v>
      </c>
      <c r="C192" t="s">
        <v>62</v>
      </c>
      <c r="D192">
        <v>2002</v>
      </c>
      <c r="E192" t="s">
        <v>637</v>
      </c>
      <c r="F192" t="s">
        <v>814</v>
      </c>
      <c r="G192" t="s">
        <v>330</v>
      </c>
      <c r="H192" t="s">
        <v>639</v>
      </c>
      <c r="I192" t="s">
        <v>463</v>
      </c>
    </row>
    <row r="193" spans="1:9" x14ac:dyDescent="0.2">
      <c r="A193" t="s">
        <v>84</v>
      </c>
      <c r="B193" t="s">
        <v>4</v>
      </c>
      <c r="C193" t="s">
        <v>4</v>
      </c>
      <c r="D193">
        <v>1993</v>
      </c>
      <c r="E193" t="s">
        <v>35</v>
      </c>
      <c r="F193" t="s">
        <v>85</v>
      </c>
      <c r="G193" t="s">
        <v>86</v>
      </c>
      <c r="H193" t="s">
        <v>7</v>
      </c>
      <c r="I193" t="s">
        <v>38</v>
      </c>
    </row>
    <row r="194" spans="1:9" x14ac:dyDescent="0.2">
      <c r="A194" t="s">
        <v>575</v>
      </c>
      <c r="B194" t="s">
        <v>4</v>
      </c>
      <c r="C194" t="s">
        <v>4</v>
      </c>
      <c r="D194">
        <v>1992</v>
      </c>
      <c r="E194" t="s">
        <v>513</v>
      </c>
      <c r="F194" t="s">
        <v>576</v>
      </c>
      <c r="G194" t="s">
        <v>54</v>
      </c>
      <c r="H194" t="s">
        <v>516</v>
      </c>
      <c r="I194" t="s">
        <v>38</v>
      </c>
    </row>
    <row r="195" spans="1:9" x14ac:dyDescent="0.2">
      <c r="A195" t="s">
        <v>575</v>
      </c>
      <c r="B195" t="s">
        <v>4</v>
      </c>
      <c r="C195" t="s">
        <v>4</v>
      </c>
      <c r="D195">
        <v>1992</v>
      </c>
      <c r="E195" t="s">
        <v>513</v>
      </c>
      <c r="F195" t="s">
        <v>576</v>
      </c>
      <c r="G195" t="s">
        <v>54</v>
      </c>
      <c r="H195" t="s">
        <v>516</v>
      </c>
      <c r="I195" t="s">
        <v>38</v>
      </c>
    </row>
    <row r="196" spans="1:9" x14ac:dyDescent="0.2">
      <c r="A196" t="s">
        <v>575</v>
      </c>
      <c r="B196" t="s">
        <v>272</v>
      </c>
      <c r="C196" t="s">
        <v>272</v>
      </c>
      <c r="D196">
        <v>1996</v>
      </c>
      <c r="E196" t="s">
        <v>513</v>
      </c>
      <c r="F196" t="s">
        <v>576</v>
      </c>
      <c r="G196" t="s">
        <v>54</v>
      </c>
      <c r="H196" t="s">
        <v>516</v>
      </c>
      <c r="I196" t="s">
        <v>38</v>
      </c>
    </row>
    <row r="197" spans="1:9" x14ac:dyDescent="0.2">
      <c r="A197" t="s">
        <v>575</v>
      </c>
      <c r="B197" t="s">
        <v>4</v>
      </c>
      <c r="C197" t="s">
        <v>4</v>
      </c>
      <c r="D197">
        <v>1999</v>
      </c>
      <c r="E197" t="s">
        <v>513</v>
      </c>
      <c r="F197" t="s">
        <v>576</v>
      </c>
      <c r="G197" t="s">
        <v>54</v>
      </c>
      <c r="H197" t="s">
        <v>516</v>
      </c>
      <c r="I197" t="s">
        <v>38</v>
      </c>
    </row>
    <row r="198" spans="1:9" x14ac:dyDescent="0.2">
      <c r="A198" t="s">
        <v>422</v>
      </c>
      <c r="B198" t="s">
        <v>4</v>
      </c>
      <c r="C198" t="s">
        <v>4</v>
      </c>
      <c r="D198">
        <v>2009</v>
      </c>
      <c r="E198" t="s">
        <v>220</v>
      </c>
      <c r="F198" t="s">
        <v>310</v>
      </c>
      <c r="G198" t="s">
        <v>46</v>
      </c>
      <c r="H198" t="s">
        <v>156</v>
      </c>
      <c r="I198" t="s">
        <v>38</v>
      </c>
    </row>
    <row r="199" spans="1:9" x14ac:dyDescent="0.2">
      <c r="A199" t="s">
        <v>690</v>
      </c>
      <c r="B199" t="s">
        <v>691</v>
      </c>
      <c r="C199" t="s">
        <v>691</v>
      </c>
      <c r="D199">
        <v>1994</v>
      </c>
      <c r="E199" t="s">
        <v>641</v>
      </c>
      <c r="F199" t="s">
        <v>692</v>
      </c>
      <c r="G199" t="s">
        <v>693</v>
      </c>
      <c r="H199" t="s">
        <v>639</v>
      </c>
      <c r="I199" t="s">
        <v>8</v>
      </c>
    </row>
    <row r="200" spans="1:9" x14ac:dyDescent="0.2">
      <c r="A200" t="s">
        <v>809</v>
      </c>
      <c r="B200" t="s">
        <v>4</v>
      </c>
      <c r="C200" t="s">
        <v>4</v>
      </c>
      <c r="D200">
        <v>2005</v>
      </c>
      <c r="E200" t="s">
        <v>641</v>
      </c>
      <c r="F200" t="s">
        <v>810</v>
      </c>
      <c r="G200" t="s">
        <v>684</v>
      </c>
      <c r="H200" t="s">
        <v>639</v>
      </c>
      <c r="I200" t="s">
        <v>8</v>
      </c>
    </row>
    <row r="201" spans="1:9" x14ac:dyDescent="0.2">
      <c r="A201" t="s">
        <v>190</v>
      </c>
      <c r="B201" t="s">
        <v>191</v>
      </c>
      <c r="C201" t="s">
        <v>191</v>
      </c>
      <c r="D201">
        <v>2007</v>
      </c>
      <c r="E201" t="s">
        <v>192</v>
      </c>
      <c r="F201" t="s">
        <v>193</v>
      </c>
      <c r="G201" t="s">
        <v>194</v>
      </c>
      <c r="H201" t="s">
        <v>156</v>
      </c>
      <c r="I201" t="s">
        <v>195</v>
      </c>
    </row>
    <row r="202" spans="1:9" x14ac:dyDescent="0.2">
      <c r="A202" t="s">
        <v>860</v>
      </c>
      <c r="B202" t="s">
        <v>377</v>
      </c>
      <c r="C202" t="s">
        <v>231</v>
      </c>
      <c r="D202">
        <v>2000</v>
      </c>
      <c r="E202" t="s">
        <v>852</v>
      </c>
      <c r="F202" t="s">
        <v>1241</v>
      </c>
      <c r="G202" t="s">
        <v>696</v>
      </c>
      <c r="H202" t="s">
        <v>853</v>
      </c>
      <c r="I202" t="s">
        <v>8</v>
      </c>
    </row>
    <row r="203" spans="1:9" x14ac:dyDescent="0.2">
      <c r="A203" t="s">
        <v>868</v>
      </c>
      <c r="B203" t="s">
        <v>667</v>
      </c>
      <c r="C203" t="s">
        <v>667</v>
      </c>
      <c r="D203">
        <v>1991</v>
      </c>
      <c r="E203" t="s">
        <v>869</v>
      </c>
      <c r="F203" t="s">
        <v>870</v>
      </c>
      <c r="G203" t="s">
        <v>871</v>
      </c>
      <c r="H203" t="s">
        <v>872</v>
      </c>
      <c r="I203" t="s">
        <v>8</v>
      </c>
    </row>
    <row r="204" spans="1:9" x14ac:dyDescent="0.2">
      <c r="A204" t="s">
        <v>731</v>
      </c>
      <c r="B204" t="s">
        <v>4</v>
      </c>
      <c r="C204" t="s">
        <v>4</v>
      </c>
      <c r="D204">
        <v>2007</v>
      </c>
      <c r="E204" t="s">
        <v>641</v>
      </c>
      <c r="F204" t="s">
        <v>652</v>
      </c>
      <c r="G204" t="s">
        <v>650</v>
      </c>
      <c r="H204" t="s">
        <v>639</v>
      </c>
      <c r="I204" t="s">
        <v>8</v>
      </c>
    </row>
    <row r="205" spans="1:9" x14ac:dyDescent="0.2">
      <c r="A205" t="s">
        <v>583</v>
      </c>
      <c r="B205" t="s">
        <v>4</v>
      </c>
      <c r="C205" t="s">
        <v>4</v>
      </c>
      <c r="D205">
        <v>2004</v>
      </c>
      <c r="E205" t="s">
        <v>513</v>
      </c>
      <c r="F205" t="s">
        <v>584</v>
      </c>
      <c r="G205" t="s">
        <v>41</v>
      </c>
      <c r="H205" t="s">
        <v>516</v>
      </c>
      <c r="I205" t="s">
        <v>38</v>
      </c>
    </row>
    <row r="206" spans="1:9" x14ac:dyDescent="0.2">
      <c r="A206" t="s">
        <v>594</v>
      </c>
      <c r="B206" t="s">
        <v>30</v>
      </c>
      <c r="C206" t="s">
        <v>30</v>
      </c>
      <c r="D206">
        <v>2010</v>
      </c>
      <c r="E206" t="s">
        <v>536</v>
      </c>
      <c r="F206" t="s">
        <v>595</v>
      </c>
      <c r="G206" t="s">
        <v>369</v>
      </c>
      <c r="H206" t="s">
        <v>516</v>
      </c>
      <c r="I206" t="s">
        <v>8</v>
      </c>
    </row>
    <row r="207" spans="1:9" x14ac:dyDescent="0.2">
      <c r="A207" t="s">
        <v>1111</v>
      </c>
      <c r="B207" t="s">
        <v>69</v>
      </c>
      <c r="C207" t="s">
        <v>69</v>
      </c>
      <c r="D207">
        <v>1999</v>
      </c>
      <c r="E207" t="s">
        <v>1105</v>
      </c>
      <c r="F207" t="s">
        <v>1112</v>
      </c>
      <c r="G207" t="s">
        <v>1113</v>
      </c>
      <c r="H207" t="s">
        <v>1103</v>
      </c>
      <c r="I207" t="s">
        <v>452</v>
      </c>
    </row>
    <row r="208" spans="1:9" x14ac:dyDescent="0.2">
      <c r="A208" t="s">
        <v>15</v>
      </c>
      <c r="B208" t="s">
        <v>77</v>
      </c>
      <c r="C208" t="s">
        <v>17</v>
      </c>
      <c r="D208">
        <v>1997</v>
      </c>
      <c r="E208" t="s">
        <v>5</v>
      </c>
      <c r="F208" t="s">
        <v>18</v>
      </c>
      <c r="G208" t="s">
        <v>41</v>
      </c>
      <c r="H208" t="s">
        <v>7</v>
      </c>
      <c r="I208" t="s">
        <v>8</v>
      </c>
    </row>
    <row r="209" spans="1:9" x14ac:dyDescent="0.2">
      <c r="A209" t="s">
        <v>15</v>
      </c>
      <c r="B209" t="s">
        <v>16</v>
      </c>
      <c r="C209" t="s">
        <v>17</v>
      </c>
      <c r="D209">
        <v>1997</v>
      </c>
      <c r="E209" t="s">
        <v>5</v>
      </c>
      <c r="F209" t="s">
        <v>18</v>
      </c>
      <c r="G209" t="s">
        <v>41</v>
      </c>
      <c r="H209" t="s">
        <v>7</v>
      </c>
      <c r="I209" t="s">
        <v>8</v>
      </c>
    </row>
    <row r="210" spans="1:9" x14ac:dyDescent="0.2">
      <c r="A210" t="s">
        <v>76</v>
      </c>
      <c r="B210" t="s">
        <v>77</v>
      </c>
      <c r="C210" t="s">
        <v>17</v>
      </c>
      <c r="D210">
        <v>2007</v>
      </c>
      <c r="E210" t="s">
        <v>5</v>
      </c>
      <c r="F210" t="s">
        <v>18</v>
      </c>
      <c r="G210" t="s">
        <v>78</v>
      </c>
      <c r="H210" t="s">
        <v>7</v>
      </c>
      <c r="I210" t="s">
        <v>8</v>
      </c>
    </row>
    <row r="211" spans="1:9" x14ac:dyDescent="0.2">
      <c r="A211" t="s">
        <v>147</v>
      </c>
      <c r="B211" t="s">
        <v>77</v>
      </c>
      <c r="C211" t="s">
        <v>17</v>
      </c>
      <c r="D211">
        <v>2007</v>
      </c>
      <c r="E211" t="s">
        <v>5</v>
      </c>
      <c r="F211" t="s">
        <v>18</v>
      </c>
      <c r="G211" t="s">
        <v>41</v>
      </c>
      <c r="H211" t="s">
        <v>7</v>
      </c>
      <c r="I211" t="s">
        <v>8</v>
      </c>
    </row>
    <row r="212" spans="1:9" x14ac:dyDescent="0.2">
      <c r="A212" t="s">
        <v>1173</v>
      </c>
      <c r="B212" t="s">
        <v>62</v>
      </c>
      <c r="C212" t="s">
        <v>62</v>
      </c>
      <c r="D212">
        <v>1996</v>
      </c>
      <c r="E212" t="s">
        <v>1174</v>
      </c>
      <c r="F212" t="s">
        <v>1175</v>
      </c>
      <c r="G212" t="s">
        <v>1176</v>
      </c>
      <c r="H212" t="s">
        <v>1158</v>
      </c>
      <c r="I212" t="s">
        <v>463</v>
      </c>
    </row>
    <row r="213" spans="1:9" x14ac:dyDescent="0.2">
      <c r="A213" t="s">
        <v>596</v>
      </c>
      <c r="B213" t="s">
        <v>4</v>
      </c>
      <c r="C213" t="s">
        <v>4</v>
      </c>
      <c r="D213">
        <v>2003</v>
      </c>
      <c r="E213" t="s">
        <v>536</v>
      </c>
      <c r="F213" t="s">
        <v>597</v>
      </c>
      <c r="G213" t="s">
        <v>598</v>
      </c>
      <c r="H213" t="s">
        <v>516</v>
      </c>
      <c r="I213" t="s">
        <v>8</v>
      </c>
    </row>
    <row r="214" spans="1:9" x14ac:dyDescent="0.2">
      <c r="A214" t="s">
        <v>1197</v>
      </c>
      <c r="B214" t="s">
        <v>4</v>
      </c>
      <c r="C214" t="s">
        <v>4</v>
      </c>
      <c r="D214">
        <v>1998</v>
      </c>
      <c r="E214" t="s">
        <v>1157</v>
      </c>
      <c r="F214" t="s">
        <v>356</v>
      </c>
      <c r="G214" t="s">
        <v>95</v>
      </c>
      <c r="H214" t="s">
        <v>1158</v>
      </c>
      <c r="I214" t="s">
        <v>8</v>
      </c>
    </row>
    <row r="215" spans="1:9" x14ac:dyDescent="0.2">
      <c r="A215" t="s">
        <v>1184</v>
      </c>
      <c r="B215" t="s">
        <v>4</v>
      </c>
      <c r="C215" t="s">
        <v>4</v>
      </c>
      <c r="D215">
        <v>2004</v>
      </c>
      <c r="E215" t="s">
        <v>1157</v>
      </c>
      <c r="F215" t="s">
        <v>356</v>
      </c>
      <c r="G215" t="s">
        <v>95</v>
      </c>
      <c r="H215" t="s">
        <v>1158</v>
      </c>
      <c r="I215" t="s">
        <v>8</v>
      </c>
    </row>
    <row r="216" spans="1:9" x14ac:dyDescent="0.2">
      <c r="A216" t="s">
        <v>1177</v>
      </c>
      <c r="B216" t="s">
        <v>4</v>
      </c>
      <c r="C216" t="s">
        <v>4</v>
      </c>
      <c r="D216">
        <v>1997</v>
      </c>
      <c r="E216" t="s">
        <v>1157</v>
      </c>
      <c r="F216" t="s">
        <v>356</v>
      </c>
      <c r="G216" t="s">
        <v>54</v>
      </c>
      <c r="H216" t="s">
        <v>1158</v>
      </c>
      <c r="I216" t="s">
        <v>8</v>
      </c>
    </row>
    <row r="217" spans="1:9" x14ac:dyDescent="0.2">
      <c r="A217" t="s">
        <v>1177</v>
      </c>
      <c r="B217" t="s">
        <v>4</v>
      </c>
      <c r="C217" t="s">
        <v>4</v>
      </c>
      <c r="D217">
        <v>2006</v>
      </c>
      <c r="E217" t="s">
        <v>1157</v>
      </c>
      <c r="F217" t="s">
        <v>356</v>
      </c>
      <c r="G217" t="s">
        <v>54</v>
      </c>
      <c r="H217" t="s">
        <v>1158</v>
      </c>
      <c r="I217" t="s">
        <v>8</v>
      </c>
    </row>
    <row r="218" spans="1:9" x14ac:dyDescent="0.2">
      <c r="A218" t="s">
        <v>1186</v>
      </c>
      <c r="B218" t="s">
        <v>4</v>
      </c>
      <c r="C218" t="s">
        <v>4</v>
      </c>
      <c r="D218">
        <v>2002</v>
      </c>
      <c r="E218" t="s">
        <v>1157</v>
      </c>
      <c r="F218" t="s">
        <v>356</v>
      </c>
      <c r="G218" t="s">
        <v>95</v>
      </c>
      <c r="H218" t="s">
        <v>1158</v>
      </c>
      <c r="I218" t="s">
        <v>8</v>
      </c>
    </row>
    <row r="219" spans="1:9" x14ac:dyDescent="0.2">
      <c r="A219" t="s">
        <v>1196</v>
      </c>
      <c r="B219" t="s">
        <v>4</v>
      </c>
      <c r="C219" t="s">
        <v>4</v>
      </c>
      <c r="D219">
        <v>1999</v>
      </c>
      <c r="E219" t="s">
        <v>1157</v>
      </c>
      <c r="F219" t="s">
        <v>356</v>
      </c>
      <c r="G219" t="s">
        <v>95</v>
      </c>
      <c r="H219" t="s">
        <v>1158</v>
      </c>
      <c r="I219" t="s">
        <v>8</v>
      </c>
    </row>
    <row r="220" spans="1:9" x14ac:dyDescent="0.2">
      <c r="A220" t="s">
        <v>1195</v>
      </c>
      <c r="B220" t="s">
        <v>4</v>
      </c>
      <c r="C220" t="s">
        <v>4</v>
      </c>
      <c r="D220">
        <v>1994</v>
      </c>
      <c r="E220" t="s">
        <v>1157</v>
      </c>
      <c r="F220" t="s">
        <v>356</v>
      </c>
      <c r="G220" t="s">
        <v>54</v>
      </c>
      <c r="H220" t="s">
        <v>1158</v>
      </c>
      <c r="I220" t="s">
        <v>8</v>
      </c>
    </row>
    <row r="221" spans="1:9" x14ac:dyDescent="0.2">
      <c r="A221" t="s">
        <v>1164</v>
      </c>
      <c r="B221" t="s">
        <v>4</v>
      </c>
      <c r="C221" t="s">
        <v>4</v>
      </c>
      <c r="D221">
        <v>2000</v>
      </c>
      <c r="E221" t="s">
        <v>1157</v>
      </c>
      <c r="F221" t="s">
        <v>356</v>
      </c>
      <c r="G221" t="s">
        <v>95</v>
      </c>
      <c r="H221" t="s">
        <v>1158</v>
      </c>
      <c r="I221" t="s">
        <v>8</v>
      </c>
    </row>
    <row r="222" spans="1:9" x14ac:dyDescent="0.2">
      <c r="A222" t="s">
        <v>358</v>
      </c>
      <c r="B222" t="s">
        <v>4</v>
      </c>
      <c r="C222" t="s">
        <v>4</v>
      </c>
      <c r="D222">
        <v>2010</v>
      </c>
      <c r="E222" t="s">
        <v>153</v>
      </c>
      <c r="F222" t="s">
        <v>356</v>
      </c>
      <c r="G222" t="s">
        <v>41</v>
      </c>
      <c r="H222" t="s">
        <v>156</v>
      </c>
      <c r="I222" t="s">
        <v>8</v>
      </c>
    </row>
    <row r="223" spans="1:9" x14ac:dyDescent="0.2">
      <c r="A223" t="s">
        <v>355</v>
      </c>
      <c r="B223" t="s">
        <v>4</v>
      </c>
      <c r="C223" t="s">
        <v>4</v>
      </c>
      <c r="D223">
        <v>2010</v>
      </c>
      <c r="E223" t="s">
        <v>153</v>
      </c>
      <c r="F223" t="s">
        <v>356</v>
      </c>
      <c r="G223" t="s">
        <v>41</v>
      </c>
      <c r="H223" t="s">
        <v>156</v>
      </c>
      <c r="I223" t="s">
        <v>8</v>
      </c>
    </row>
    <row r="224" spans="1:9" x14ac:dyDescent="0.2">
      <c r="A224" t="s">
        <v>1156</v>
      </c>
      <c r="B224" t="s">
        <v>4</v>
      </c>
      <c r="C224" t="s">
        <v>4</v>
      </c>
      <c r="D224">
        <v>1999</v>
      </c>
      <c r="E224" t="s">
        <v>1157</v>
      </c>
      <c r="F224" t="s">
        <v>356</v>
      </c>
      <c r="G224" t="s">
        <v>95</v>
      </c>
      <c r="H224" t="s">
        <v>1158</v>
      </c>
      <c r="I224" t="s">
        <v>8</v>
      </c>
    </row>
    <row r="225" spans="1:9" x14ac:dyDescent="0.2">
      <c r="A225" t="s">
        <v>1160</v>
      </c>
      <c r="B225" t="s">
        <v>4</v>
      </c>
      <c r="C225" t="s">
        <v>4</v>
      </c>
      <c r="D225">
        <v>2000</v>
      </c>
      <c r="E225" t="s">
        <v>1157</v>
      </c>
      <c r="F225" t="s">
        <v>356</v>
      </c>
      <c r="G225" t="s">
        <v>41</v>
      </c>
      <c r="H225" t="s">
        <v>1158</v>
      </c>
      <c r="I225" t="s">
        <v>8</v>
      </c>
    </row>
    <row r="226" spans="1:9" x14ac:dyDescent="0.2">
      <c r="A226" t="s">
        <v>1185</v>
      </c>
      <c r="B226" t="s">
        <v>4</v>
      </c>
      <c r="C226" t="s">
        <v>4</v>
      </c>
      <c r="D226">
        <v>2000</v>
      </c>
      <c r="E226" t="s">
        <v>1157</v>
      </c>
      <c r="F226" t="s">
        <v>356</v>
      </c>
      <c r="G226" t="s">
        <v>41</v>
      </c>
      <c r="H226" t="s">
        <v>1158</v>
      </c>
      <c r="I226" t="s">
        <v>8</v>
      </c>
    </row>
    <row r="227" spans="1:9" x14ac:dyDescent="0.2">
      <c r="A227" t="s">
        <v>1168</v>
      </c>
      <c r="B227" t="s">
        <v>4</v>
      </c>
      <c r="C227" t="s">
        <v>4</v>
      </c>
      <c r="D227">
        <v>2003</v>
      </c>
      <c r="E227" t="s">
        <v>1157</v>
      </c>
      <c r="F227" t="s">
        <v>356</v>
      </c>
      <c r="G227" t="s">
        <v>95</v>
      </c>
      <c r="H227" t="s">
        <v>1158</v>
      </c>
      <c r="I227" t="s">
        <v>8</v>
      </c>
    </row>
    <row r="228" spans="1:9" x14ac:dyDescent="0.2">
      <c r="A228" t="s">
        <v>1183</v>
      </c>
      <c r="B228" t="s">
        <v>181</v>
      </c>
      <c r="C228" t="s">
        <v>181</v>
      </c>
      <c r="D228">
        <v>2008</v>
      </c>
      <c r="E228" t="s">
        <v>1157</v>
      </c>
      <c r="F228" t="s">
        <v>356</v>
      </c>
      <c r="G228" t="s">
        <v>54</v>
      </c>
      <c r="H228" t="s">
        <v>1158</v>
      </c>
      <c r="I228" t="s">
        <v>8</v>
      </c>
    </row>
    <row r="229" spans="1:9" x14ac:dyDescent="0.2">
      <c r="A229" t="s">
        <v>659</v>
      </c>
      <c r="B229" t="s">
        <v>62</v>
      </c>
      <c r="C229" t="s">
        <v>62</v>
      </c>
      <c r="D229">
        <v>1993</v>
      </c>
      <c r="E229" t="s">
        <v>220</v>
      </c>
      <c r="F229" t="s">
        <v>660</v>
      </c>
      <c r="G229" t="s">
        <v>328</v>
      </c>
      <c r="H229" t="s">
        <v>639</v>
      </c>
      <c r="I229" t="s">
        <v>38</v>
      </c>
    </row>
    <row r="230" spans="1:9" x14ac:dyDescent="0.2">
      <c r="A230" t="s">
        <v>919</v>
      </c>
      <c r="B230" t="s">
        <v>4</v>
      </c>
      <c r="C230" t="s">
        <v>4</v>
      </c>
      <c r="D230">
        <v>2007</v>
      </c>
      <c r="E230" t="s">
        <v>905</v>
      </c>
      <c r="F230" t="s">
        <v>906</v>
      </c>
      <c r="G230" t="s">
        <v>369</v>
      </c>
      <c r="H230" t="s">
        <v>907</v>
      </c>
      <c r="I230" t="s">
        <v>38</v>
      </c>
    </row>
    <row r="231" spans="1:9" x14ac:dyDescent="0.2">
      <c r="A231" t="s">
        <v>112</v>
      </c>
      <c r="B231" t="s">
        <v>62</v>
      </c>
      <c r="C231" t="s">
        <v>62</v>
      </c>
      <c r="D231">
        <v>1998</v>
      </c>
      <c r="E231" t="s">
        <v>35</v>
      </c>
      <c r="F231" t="s">
        <v>113</v>
      </c>
      <c r="G231" t="s">
        <v>46</v>
      </c>
      <c r="H231" t="s">
        <v>7</v>
      </c>
      <c r="I231" t="s">
        <v>38</v>
      </c>
    </row>
    <row r="232" spans="1:9" x14ac:dyDescent="0.2">
      <c r="A232" t="s">
        <v>1078</v>
      </c>
      <c r="B232" t="s">
        <v>4</v>
      </c>
      <c r="C232" t="s">
        <v>4</v>
      </c>
      <c r="D232">
        <v>2007</v>
      </c>
      <c r="E232" t="s">
        <v>1077</v>
      </c>
      <c r="F232" t="s">
        <v>1074</v>
      </c>
      <c r="G232" t="s">
        <v>1066</v>
      </c>
      <c r="H232" t="s">
        <v>1067</v>
      </c>
      <c r="I232" t="s">
        <v>463</v>
      </c>
    </row>
    <row r="233" spans="1:9" x14ac:dyDescent="0.2">
      <c r="A233" t="s">
        <v>1124</v>
      </c>
      <c r="B233" t="s">
        <v>62</v>
      </c>
      <c r="C233" t="s">
        <v>62</v>
      </c>
      <c r="D233">
        <v>2000</v>
      </c>
      <c r="E233" t="s">
        <v>856</v>
      </c>
      <c r="F233" t="s">
        <v>1253</v>
      </c>
      <c r="G233" t="s">
        <v>173</v>
      </c>
      <c r="H233" t="s">
        <v>1103</v>
      </c>
      <c r="I233" t="s">
        <v>463</v>
      </c>
    </row>
    <row r="234" spans="1:9" x14ac:dyDescent="0.2">
      <c r="A234" t="s">
        <v>1085</v>
      </c>
      <c r="B234" t="s">
        <v>4</v>
      </c>
      <c r="C234" t="s">
        <v>4</v>
      </c>
      <c r="D234">
        <v>1993</v>
      </c>
      <c r="E234" t="s">
        <v>1064</v>
      </c>
      <c r="F234" t="s">
        <v>1223</v>
      </c>
      <c r="G234" t="s">
        <v>1086</v>
      </c>
      <c r="H234" t="s">
        <v>1067</v>
      </c>
      <c r="I234" t="s">
        <v>463</v>
      </c>
    </row>
    <row r="235" spans="1:9" x14ac:dyDescent="0.2">
      <c r="A235" t="s">
        <v>138</v>
      </c>
      <c r="B235" t="s">
        <v>62</v>
      </c>
      <c r="C235" t="s">
        <v>62</v>
      </c>
      <c r="D235">
        <v>1995</v>
      </c>
      <c r="E235" t="s">
        <v>35</v>
      </c>
      <c r="F235" t="s">
        <v>63</v>
      </c>
      <c r="G235" t="s">
        <v>64</v>
      </c>
      <c r="H235" t="s">
        <v>7</v>
      </c>
      <c r="I235" t="s">
        <v>38</v>
      </c>
    </row>
    <row r="236" spans="1:9" x14ac:dyDescent="0.2">
      <c r="A236" t="s">
        <v>572</v>
      </c>
      <c r="B236" t="s">
        <v>34</v>
      </c>
      <c r="C236" t="s">
        <v>34</v>
      </c>
      <c r="D236">
        <v>1999</v>
      </c>
      <c r="E236" t="s">
        <v>513</v>
      </c>
      <c r="F236" t="s">
        <v>573</v>
      </c>
      <c r="G236" t="s">
        <v>574</v>
      </c>
      <c r="H236" t="s">
        <v>516</v>
      </c>
      <c r="I236" t="s">
        <v>38</v>
      </c>
    </row>
    <row r="237" spans="1:9" x14ac:dyDescent="0.2">
      <c r="A237" t="s">
        <v>230</v>
      </c>
      <c r="B237" t="s">
        <v>231</v>
      </c>
      <c r="C237" t="s">
        <v>231</v>
      </c>
      <c r="D237">
        <v>2007</v>
      </c>
      <c r="E237" t="s">
        <v>153</v>
      </c>
      <c r="F237" t="s">
        <v>201</v>
      </c>
      <c r="G237" t="s">
        <v>41</v>
      </c>
      <c r="H237" t="s">
        <v>156</v>
      </c>
      <c r="I237" t="s">
        <v>8</v>
      </c>
    </row>
    <row r="238" spans="1:9" x14ac:dyDescent="0.2">
      <c r="A238" t="s">
        <v>621</v>
      </c>
      <c r="B238" t="s">
        <v>532</v>
      </c>
      <c r="C238" t="s">
        <v>512</v>
      </c>
      <c r="D238" s="3" t="s">
        <v>1222</v>
      </c>
      <c r="E238" t="s">
        <v>513</v>
      </c>
      <c r="F238" t="s">
        <v>514</v>
      </c>
      <c r="G238" t="s">
        <v>534</v>
      </c>
      <c r="H238" t="s">
        <v>516</v>
      </c>
      <c r="I238" t="s">
        <v>38</v>
      </c>
    </row>
    <row r="239" spans="1:9" x14ac:dyDescent="0.2">
      <c r="A239" t="s">
        <v>1206</v>
      </c>
      <c r="B239" t="s">
        <v>48</v>
      </c>
      <c r="C239" t="s">
        <v>48</v>
      </c>
      <c r="D239">
        <v>2009</v>
      </c>
      <c r="E239" t="s">
        <v>1199</v>
      </c>
      <c r="F239" t="s">
        <v>1207</v>
      </c>
      <c r="G239" t="s">
        <v>1208</v>
      </c>
      <c r="H239" t="s">
        <v>1202</v>
      </c>
      <c r="I239" t="s">
        <v>1093</v>
      </c>
    </row>
    <row r="240" spans="1:9" x14ac:dyDescent="0.2">
      <c r="A240" t="s">
        <v>808</v>
      </c>
      <c r="B240" t="s">
        <v>94</v>
      </c>
      <c r="C240" t="s">
        <v>94</v>
      </c>
      <c r="D240">
        <v>1992</v>
      </c>
      <c r="E240" t="s">
        <v>641</v>
      </c>
      <c r="F240" t="s">
        <v>773</v>
      </c>
      <c r="G240" t="s">
        <v>696</v>
      </c>
      <c r="H240" t="s">
        <v>639</v>
      </c>
      <c r="I240" t="s">
        <v>8</v>
      </c>
    </row>
    <row r="241" spans="1:9" x14ac:dyDescent="0.2">
      <c r="A241" t="s">
        <v>1072</v>
      </c>
      <c r="B241" t="s">
        <v>1073</v>
      </c>
      <c r="C241" t="s">
        <v>1073</v>
      </c>
      <c r="D241">
        <v>2009</v>
      </c>
      <c r="E241" t="s">
        <v>1064</v>
      </c>
      <c r="F241" t="s">
        <v>1074</v>
      </c>
      <c r="G241" t="s">
        <v>1066</v>
      </c>
      <c r="H241" t="s">
        <v>1067</v>
      </c>
      <c r="I241" t="s">
        <v>463</v>
      </c>
    </row>
    <row r="242" spans="1:9" x14ac:dyDescent="0.2">
      <c r="A242" t="s">
        <v>851</v>
      </c>
      <c r="B242" t="s">
        <v>10</v>
      </c>
      <c r="C242" t="s">
        <v>11</v>
      </c>
      <c r="D242">
        <v>2001</v>
      </c>
      <c r="E242" t="s">
        <v>852</v>
      </c>
      <c r="F242" t="s">
        <v>1233</v>
      </c>
      <c r="G242" t="s">
        <v>1234</v>
      </c>
      <c r="H242" t="s">
        <v>853</v>
      </c>
      <c r="I242" t="s">
        <v>8</v>
      </c>
    </row>
    <row r="243" spans="1:9" x14ac:dyDescent="0.2">
      <c r="A243" t="s">
        <v>260</v>
      </c>
      <c r="B243" t="s">
        <v>261</v>
      </c>
      <c r="C243" t="s">
        <v>261</v>
      </c>
      <c r="D243">
        <v>2008</v>
      </c>
      <c r="E243" t="s">
        <v>161</v>
      </c>
      <c r="F243" t="s">
        <v>262</v>
      </c>
      <c r="G243" t="s">
        <v>263</v>
      </c>
      <c r="H243" t="s">
        <v>156</v>
      </c>
      <c r="I243" t="s">
        <v>164</v>
      </c>
    </row>
    <row r="244" spans="1:9" x14ac:dyDescent="0.2">
      <c r="A244" t="s">
        <v>351</v>
      </c>
      <c r="B244" t="s">
        <v>4</v>
      </c>
      <c r="C244" t="s">
        <v>4</v>
      </c>
      <c r="D244">
        <v>2003</v>
      </c>
      <c r="E244" t="s">
        <v>192</v>
      </c>
      <c r="F244" t="s">
        <v>352</v>
      </c>
      <c r="G244" t="s">
        <v>353</v>
      </c>
      <c r="H244" t="s">
        <v>156</v>
      </c>
      <c r="I244" t="s">
        <v>195</v>
      </c>
    </row>
    <row r="245" spans="1:9" x14ac:dyDescent="0.2">
      <c r="A245" t="s">
        <v>1142</v>
      </c>
      <c r="B245" t="s">
        <v>4</v>
      </c>
      <c r="C245" t="s">
        <v>4</v>
      </c>
      <c r="D245">
        <v>1993</v>
      </c>
      <c r="E245" t="s">
        <v>1138</v>
      </c>
      <c r="F245" t="s">
        <v>1223</v>
      </c>
      <c r="G245" t="s">
        <v>1134</v>
      </c>
      <c r="H245" t="s">
        <v>1135</v>
      </c>
      <c r="I245" t="s">
        <v>38</v>
      </c>
    </row>
    <row r="246" spans="1:9" x14ac:dyDescent="0.2">
      <c r="A246" t="s">
        <v>242</v>
      </c>
      <c r="B246" t="s">
        <v>80</v>
      </c>
      <c r="C246" t="s">
        <v>17</v>
      </c>
      <c r="D246">
        <v>2005</v>
      </c>
      <c r="E246" t="s">
        <v>161</v>
      </c>
      <c r="F246" t="s">
        <v>1223</v>
      </c>
      <c r="G246" t="s">
        <v>243</v>
      </c>
      <c r="H246" t="s">
        <v>156</v>
      </c>
      <c r="I246" t="s">
        <v>164</v>
      </c>
    </row>
    <row r="247" spans="1:9" x14ac:dyDescent="0.2">
      <c r="A247" t="s">
        <v>626</v>
      </c>
      <c r="B247" t="s">
        <v>231</v>
      </c>
      <c r="C247" t="s">
        <v>231</v>
      </c>
      <c r="D247">
        <v>2008</v>
      </c>
      <c r="E247" t="s">
        <v>518</v>
      </c>
      <c r="F247" t="s">
        <v>556</v>
      </c>
      <c r="G247" t="s">
        <v>557</v>
      </c>
      <c r="H247" t="s">
        <v>516</v>
      </c>
      <c r="I247" t="s">
        <v>520</v>
      </c>
    </row>
    <row r="248" spans="1:9" x14ac:dyDescent="0.2">
      <c r="A248" t="s">
        <v>550</v>
      </c>
      <c r="B248" t="s">
        <v>551</v>
      </c>
      <c r="C248" t="s">
        <v>551</v>
      </c>
      <c r="D248">
        <v>2002</v>
      </c>
      <c r="E248" t="s">
        <v>518</v>
      </c>
      <c r="F248" t="s">
        <v>552</v>
      </c>
      <c r="G248" t="s">
        <v>41</v>
      </c>
      <c r="H248" t="s">
        <v>516</v>
      </c>
      <c r="I248" t="s">
        <v>520</v>
      </c>
    </row>
    <row r="249" spans="1:9" x14ac:dyDescent="0.2">
      <c r="A249" t="s">
        <v>550</v>
      </c>
      <c r="B249" t="s">
        <v>591</v>
      </c>
      <c r="C249" t="s">
        <v>591</v>
      </c>
      <c r="D249">
        <v>2008</v>
      </c>
      <c r="E249" t="s">
        <v>518</v>
      </c>
      <c r="F249" t="s">
        <v>552</v>
      </c>
      <c r="G249" t="s">
        <v>41</v>
      </c>
      <c r="H249" t="s">
        <v>516</v>
      </c>
      <c r="I249" t="s">
        <v>520</v>
      </c>
    </row>
    <row r="250" spans="1:9" x14ac:dyDescent="0.2">
      <c r="A250" t="s">
        <v>988</v>
      </c>
      <c r="B250" t="s">
        <v>94</v>
      </c>
      <c r="C250" t="s">
        <v>94</v>
      </c>
      <c r="D250">
        <v>1997</v>
      </c>
      <c r="E250" t="s">
        <v>936</v>
      </c>
      <c r="F250" t="s">
        <v>989</v>
      </c>
      <c r="G250" t="s">
        <v>990</v>
      </c>
      <c r="H250" t="s">
        <v>938</v>
      </c>
      <c r="I250" t="s">
        <v>8</v>
      </c>
    </row>
    <row r="251" spans="1:9" x14ac:dyDescent="0.2">
      <c r="A251" t="s">
        <v>980</v>
      </c>
      <c r="B251" t="s">
        <v>231</v>
      </c>
      <c r="C251" t="s">
        <v>231</v>
      </c>
      <c r="D251">
        <v>2010</v>
      </c>
      <c r="E251" t="s">
        <v>936</v>
      </c>
      <c r="F251" t="s">
        <v>981</v>
      </c>
      <c r="G251" t="s">
        <v>41</v>
      </c>
      <c r="H251" t="s">
        <v>938</v>
      </c>
      <c r="I251" t="s">
        <v>8</v>
      </c>
    </row>
    <row r="252" spans="1:9" x14ac:dyDescent="0.2">
      <c r="A252" t="s">
        <v>942</v>
      </c>
      <c r="B252" t="s">
        <v>4</v>
      </c>
      <c r="C252" t="s">
        <v>4</v>
      </c>
      <c r="D252">
        <v>1999</v>
      </c>
      <c r="E252" t="s">
        <v>936</v>
      </c>
      <c r="F252" t="s">
        <v>943</v>
      </c>
      <c r="G252" t="s">
        <v>684</v>
      </c>
      <c r="H252" t="s">
        <v>938</v>
      </c>
      <c r="I252" t="s">
        <v>8</v>
      </c>
    </row>
    <row r="253" spans="1:9" x14ac:dyDescent="0.2">
      <c r="A253" t="s">
        <v>741</v>
      </c>
      <c r="B253" t="s">
        <v>4</v>
      </c>
      <c r="C253" t="s">
        <v>4</v>
      </c>
      <c r="D253">
        <v>1993</v>
      </c>
      <c r="E253" t="s">
        <v>641</v>
      </c>
      <c r="F253" t="s">
        <v>683</v>
      </c>
      <c r="G253" t="s">
        <v>582</v>
      </c>
      <c r="H253" t="s">
        <v>639</v>
      </c>
      <c r="I253" t="s">
        <v>8</v>
      </c>
    </row>
    <row r="254" spans="1:9" x14ac:dyDescent="0.2">
      <c r="A254" t="s">
        <v>741</v>
      </c>
      <c r="B254" t="s">
        <v>62</v>
      </c>
      <c r="C254" t="s">
        <v>62</v>
      </c>
      <c r="D254">
        <v>1997</v>
      </c>
      <c r="E254" t="s">
        <v>637</v>
      </c>
      <c r="F254" t="s">
        <v>683</v>
      </c>
      <c r="G254" t="s">
        <v>582</v>
      </c>
      <c r="H254" t="s">
        <v>639</v>
      </c>
      <c r="I254" t="s">
        <v>463</v>
      </c>
    </row>
    <row r="255" spans="1:9" x14ac:dyDescent="0.2">
      <c r="A255" t="s">
        <v>363</v>
      </c>
      <c r="B255" t="s">
        <v>334</v>
      </c>
      <c r="C255" t="s">
        <v>334</v>
      </c>
      <c r="D255">
        <v>2007</v>
      </c>
      <c r="E255" t="s">
        <v>192</v>
      </c>
      <c r="F255" t="s">
        <v>364</v>
      </c>
      <c r="G255" t="s">
        <v>336</v>
      </c>
      <c r="H255" t="s">
        <v>156</v>
      </c>
      <c r="I255" t="s">
        <v>195</v>
      </c>
    </row>
    <row r="256" spans="1:9" x14ac:dyDescent="0.2">
      <c r="A256" t="s">
        <v>784</v>
      </c>
      <c r="B256" t="s">
        <v>4</v>
      </c>
      <c r="C256" t="s">
        <v>4</v>
      </c>
      <c r="D256">
        <v>2005</v>
      </c>
      <c r="E256" t="s">
        <v>641</v>
      </c>
      <c r="F256" t="s">
        <v>652</v>
      </c>
      <c r="G256" t="s">
        <v>650</v>
      </c>
      <c r="H256" t="s">
        <v>639</v>
      </c>
      <c r="I256" t="s">
        <v>8</v>
      </c>
    </row>
    <row r="257" spans="1:9" x14ac:dyDescent="0.2">
      <c r="A257" t="s">
        <v>751</v>
      </c>
      <c r="B257" t="s">
        <v>94</v>
      </c>
      <c r="C257" t="s">
        <v>94</v>
      </c>
      <c r="D257">
        <v>1992</v>
      </c>
      <c r="E257" t="s">
        <v>641</v>
      </c>
      <c r="F257" t="s">
        <v>752</v>
      </c>
      <c r="G257" t="s">
        <v>696</v>
      </c>
      <c r="H257" t="s">
        <v>639</v>
      </c>
      <c r="I257" t="s">
        <v>8</v>
      </c>
    </row>
    <row r="258" spans="1:9" x14ac:dyDescent="0.2">
      <c r="A258" t="s">
        <v>3</v>
      </c>
      <c r="B258" t="s">
        <v>4</v>
      </c>
      <c r="C258" t="s">
        <v>4</v>
      </c>
      <c r="D258">
        <v>2007</v>
      </c>
      <c r="E258" t="s">
        <v>5</v>
      </c>
      <c r="F258" t="s">
        <v>6</v>
      </c>
      <c r="G258" t="s">
        <v>6</v>
      </c>
      <c r="H258" t="s">
        <v>7</v>
      </c>
      <c r="I258" t="s">
        <v>8</v>
      </c>
    </row>
    <row r="259" spans="1:9" x14ac:dyDescent="0.2">
      <c r="A259" t="s">
        <v>337</v>
      </c>
      <c r="B259" t="s">
        <v>338</v>
      </c>
      <c r="C259" t="s">
        <v>152</v>
      </c>
      <c r="D259">
        <v>2007</v>
      </c>
      <c r="E259" t="s">
        <v>239</v>
      </c>
      <c r="F259" t="s">
        <v>284</v>
      </c>
      <c r="G259" t="s">
        <v>339</v>
      </c>
      <c r="H259" t="s">
        <v>156</v>
      </c>
      <c r="I259" t="s">
        <v>8</v>
      </c>
    </row>
    <row r="260" spans="1:9" x14ac:dyDescent="0.2">
      <c r="A260" t="s">
        <v>440</v>
      </c>
      <c r="B260" t="s">
        <v>130</v>
      </c>
      <c r="C260" t="s">
        <v>34</v>
      </c>
      <c r="D260">
        <v>2000</v>
      </c>
      <c r="E260" t="s">
        <v>200</v>
      </c>
      <c r="F260" t="s">
        <v>441</v>
      </c>
      <c r="G260" t="s">
        <v>256</v>
      </c>
      <c r="H260" t="s">
        <v>156</v>
      </c>
      <c r="I260" t="s">
        <v>8</v>
      </c>
    </row>
    <row r="261" spans="1:9" x14ac:dyDescent="0.2">
      <c r="A261" t="s">
        <v>440</v>
      </c>
      <c r="B261" t="s">
        <v>89</v>
      </c>
      <c r="C261" t="s">
        <v>89</v>
      </c>
      <c r="D261">
        <v>2002</v>
      </c>
      <c r="E261" t="s">
        <v>200</v>
      </c>
      <c r="F261" t="s">
        <v>441</v>
      </c>
      <c r="G261" t="s">
        <v>202</v>
      </c>
      <c r="H261" t="s">
        <v>156</v>
      </c>
      <c r="I261" t="s">
        <v>8</v>
      </c>
    </row>
    <row r="262" spans="1:9" x14ac:dyDescent="0.2">
      <c r="A262" t="s">
        <v>148</v>
      </c>
      <c r="B262" t="s">
        <v>30</v>
      </c>
      <c r="C262" t="s">
        <v>30</v>
      </c>
      <c r="D262">
        <v>2007</v>
      </c>
      <c r="E262" t="s">
        <v>5</v>
      </c>
      <c r="F262" t="s">
        <v>149</v>
      </c>
      <c r="G262" t="s">
        <v>134</v>
      </c>
      <c r="H262" t="s">
        <v>7</v>
      </c>
      <c r="I262" t="s">
        <v>8</v>
      </c>
    </row>
    <row r="263" spans="1:9" x14ac:dyDescent="0.2">
      <c r="A263" t="s">
        <v>1019</v>
      </c>
      <c r="B263" t="s">
        <v>231</v>
      </c>
      <c r="C263" t="s">
        <v>231</v>
      </c>
      <c r="D263">
        <v>1993</v>
      </c>
      <c r="E263" t="s">
        <v>1015</v>
      </c>
      <c r="F263" t="s">
        <v>1016</v>
      </c>
      <c r="G263" t="s">
        <v>1012</v>
      </c>
      <c r="H263" t="s">
        <v>1008</v>
      </c>
      <c r="I263" t="s">
        <v>1018</v>
      </c>
    </row>
    <row r="264" spans="1:9" x14ac:dyDescent="0.2">
      <c r="A264" t="s">
        <v>1019</v>
      </c>
      <c r="B264" t="s">
        <v>231</v>
      </c>
      <c r="C264" t="s">
        <v>231</v>
      </c>
      <c r="D264">
        <v>1993</v>
      </c>
      <c r="E264" t="s">
        <v>1015</v>
      </c>
      <c r="F264" t="s">
        <v>1016</v>
      </c>
      <c r="G264" t="s">
        <v>1012</v>
      </c>
      <c r="H264" t="s">
        <v>1008</v>
      </c>
      <c r="I264" t="s">
        <v>1018</v>
      </c>
    </row>
    <row r="265" spans="1:9" x14ac:dyDescent="0.2">
      <c r="A265" t="s">
        <v>436</v>
      </c>
      <c r="B265" t="s">
        <v>215</v>
      </c>
      <c r="C265" t="s">
        <v>215</v>
      </c>
      <c r="D265">
        <v>2008</v>
      </c>
      <c r="E265" t="s">
        <v>220</v>
      </c>
      <c r="F265" t="s">
        <v>209</v>
      </c>
      <c r="G265" t="s">
        <v>64</v>
      </c>
      <c r="H265" t="s">
        <v>156</v>
      </c>
      <c r="I265" t="s">
        <v>38</v>
      </c>
    </row>
    <row r="266" spans="1:9" x14ac:dyDescent="0.2">
      <c r="A266" t="s">
        <v>150</v>
      </c>
      <c r="B266" t="s">
        <v>151</v>
      </c>
      <c r="C266" t="s">
        <v>152</v>
      </c>
      <c r="D266">
        <v>2001</v>
      </c>
      <c r="E266" t="s">
        <v>153</v>
      </c>
      <c r="F266" t="s">
        <v>154</v>
      </c>
      <c r="G266" t="s">
        <v>155</v>
      </c>
      <c r="H266" t="s">
        <v>156</v>
      </c>
      <c r="I266" t="s">
        <v>8</v>
      </c>
    </row>
    <row r="267" spans="1:9" x14ac:dyDescent="0.2">
      <c r="A267" t="s">
        <v>761</v>
      </c>
      <c r="B267" t="s">
        <v>4</v>
      </c>
      <c r="C267" t="s">
        <v>4</v>
      </c>
      <c r="D267">
        <v>1995</v>
      </c>
      <c r="E267" t="s">
        <v>641</v>
      </c>
      <c r="F267" t="s">
        <v>683</v>
      </c>
      <c r="G267" t="s">
        <v>41</v>
      </c>
      <c r="H267" t="s">
        <v>639</v>
      </c>
      <c r="I267" t="s">
        <v>8</v>
      </c>
    </row>
    <row r="268" spans="1:9" x14ac:dyDescent="0.2">
      <c r="A268" t="s">
        <v>986</v>
      </c>
      <c r="B268" t="s">
        <v>4</v>
      </c>
      <c r="C268" t="s">
        <v>4</v>
      </c>
      <c r="D268">
        <v>2006</v>
      </c>
      <c r="E268" t="s">
        <v>936</v>
      </c>
      <c r="F268" t="s">
        <v>937</v>
      </c>
      <c r="G268" t="s">
        <v>105</v>
      </c>
      <c r="H268" t="s">
        <v>938</v>
      </c>
      <c r="I268" t="s">
        <v>8</v>
      </c>
    </row>
    <row r="269" spans="1:9" x14ac:dyDescent="0.2">
      <c r="A269" t="s">
        <v>135</v>
      </c>
      <c r="B269" t="s">
        <v>30</v>
      </c>
      <c r="C269" t="s">
        <v>30</v>
      </c>
      <c r="D269">
        <v>2002</v>
      </c>
      <c r="E269" t="s">
        <v>70</v>
      </c>
      <c r="F269" t="s">
        <v>136</v>
      </c>
      <c r="G269" t="s">
        <v>137</v>
      </c>
      <c r="H269" t="s">
        <v>7</v>
      </c>
      <c r="I269" t="s">
        <v>73</v>
      </c>
    </row>
    <row r="270" spans="1:9" x14ac:dyDescent="0.2">
      <c r="A270" t="s">
        <v>873</v>
      </c>
      <c r="B270" t="s">
        <v>874</v>
      </c>
      <c r="C270" t="s">
        <v>874</v>
      </c>
      <c r="D270">
        <v>2008</v>
      </c>
      <c r="E270" t="s">
        <v>875</v>
      </c>
      <c r="F270" t="s">
        <v>876</v>
      </c>
      <c r="G270" t="s">
        <v>256</v>
      </c>
      <c r="H270" t="s">
        <v>877</v>
      </c>
      <c r="I270" t="s">
        <v>8</v>
      </c>
    </row>
    <row r="271" spans="1:9" x14ac:dyDescent="0.2">
      <c r="A271" t="s">
        <v>927</v>
      </c>
      <c r="B271" t="s">
        <v>62</v>
      </c>
      <c r="C271" t="s">
        <v>62</v>
      </c>
      <c r="D271">
        <v>1997</v>
      </c>
      <c r="E271" t="s">
        <v>905</v>
      </c>
      <c r="F271" t="s">
        <v>928</v>
      </c>
      <c r="G271" t="s">
        <v>64</v>
      </c>
      <c r="H271" t="s">
        <v>907</v>
      </c>
      <c r="I271" t="s">
        <v>38</v>
      </c>
    </row>
    <row r="272" spans="1:9" x14ac:dyDescent="0.2">
      <c r="A272" t="s">
        <v>59</v>
      </c>
      <c r="B272" t="s">
        <v>62</v>
      </c>
      <c r="C272" t="s">
        <v>62</v>
      </c>
      <c r="D272">
        <v>2001</v>
      </c>
      <c r="E272" t="s">
        <v>35</v>
      </c>
      <c r="F272" t="s">
        <v>60</v>
      </c>
      <c r="G272" t="s">
        <v>43</v>
      </c>
      <c r="H272" t="s">
        <v>7</v>
      </c>
      <c r="I272" t="s">
        <v>38</v>
      </c>
    </row>
    <row r="273" spans="1:9" x14ac:dyDescent="0.2">
      <c r="A273" t="s">
        <v>59</v>
      </c>
      <c r="B273" t="s">
        <v>4</v>
      </c>
      <c r="C273" t="s">
        <v>4</v>
      </c>
      <c r="D273">
        <v>2003</v>
      </c>
      <c r="E273" t="s">
        <v>35</v>
      </c>
      <c r="F273" t="s">
        <v>60</v>
      </c>
      <c r="G273" t="s">
        <v>43</v>
      </c>
      <c r="H273" t="s">
        <v>7</v>
      </c>
      <c r="I273" t="s">
        <v>38</v>
      </c>
    </row>
    <row r="274" spans="1:9" x14ac:dyDescent="0.2">
      <c r="A274" t="s">
        <v>175</v>
      </c>
      <c r="B274" t="s">
        <v>176</v>
      </c>
      <c r="C274" t="s">
        <v>176</v>
      </c>
      <c r="D274">
        <v>2008</v>
      </c>
      <c r="E274" t="s">
        <v>167</v>
      </c>
      <c r="F274" t="s">
        <v>177</v>
      </c>
      <c r="G274" t="s">
        <v>178</v>
      </c>
      <c r="H274" t="s">
        <v>156</v>
      </c>
      <c r="I274" t="s">
        <v>170</v>
      </c>
    </row>
    <row r="275" spans="1:9" x14ac:dyDescent="0.2">
      <c r="A275" t="s">
        <v>1214</v>
      </c>
      <c r="B275" t="s">
        <v>607</v>
      </c>
      <c r="C275" t="s">
        <v>607</v>
      </c>
      <c r="D275">
        <v>2004</v>
      </c>
      <c r="E275" t="s">
        <v>1199</v>
      </c>
      <c r="F275" t="s">
        <v>1215</v>
      </c>
      <c r="G275" t="s">
        <v>1208</v>
      </c>
      <c r="H275" t="s">
        <v>1202</v>
      </c>
      <c r="I275" t="s">
        <v>1093</v>
      </c>
    </row>
    <row r="276" spans="1:9" x14ac:dyDescent="0.2">
      <c r="A276" t="s">
        <v>902</v>
      </c>
      <c r="B276" t="s">
        <v>80</v>
      </c>
      <c r="C276" t="s">
        <v>17</v>
      </c>
      <c r="D276">
        <v>2000</v>
      </c>
      <c r="E276" t="s">
        <v>899</v>
      </c>
      <c r="F276" t="s">
        <v>903</v>
      </c>
      <c r="G276" t="s">
        <v>896</v>
      </c>
      <c r="H276" t="s">
        <v>901</v>
      </c>
      <c r="I276" t="s">
        <v>317</v>
      </c>
    </row>
    <row r="277" spans="1:9" x14ac:dyDescent="0.2">
      <c r="A277" t="s">
        <v>535</v>
      </c>
      <c r="B277" t="s">
        <v>4</v>
      </c>
      <c r="C277" t="s">
        <v>4</v>
      </c>
      <c r="D277">
        <v>2002</v>
      </c>
      <c r="E277" t="s">
        <v>536</v>
      </c>
      <c r="F277" t="s">
        <v>537</v>
      </c>
      <c r="G277" t="s">
        <v>369</v>
      </c>
      <c r="H277" t="s">
        <v>516</v>
      </c>
      <c r="I277" t="s">
        <v>8</v>
      </c>
    </row>
    <row r="278" spans="1:9" x14ac:dyDescent="0.2">
      <c r="A278" t="s">
        <v>296</v>
      </c>
      <c r="B278" t="s">
        <v>297</v>
      </c>
      <c r="C278" t="s">
        <v>297</v>
      </c>
      <c r="D278">
        <v>2009</v>
      </c>
      <c r="E278" t="s">
        <v>167</v>
      </c>
      <c r="F278" t="s">
        <v>298</v>
      </c>
      <c r="G278" t="s">
        <v>41</v>
      </c>
      <c r="H278" t="s">
        <v>156</v>
      </c>
      <c r="I278" t="s">
        <v>170</v>
      </c>
    </row>
    <row r="279" spans="1:9" x14ac:dyDescent="0.2">
      <c r="A279" t="s">
        <v>991</v>
      </c>
      <c r="B279" t="s">
        <v>4</v>
      </c>
      <c r="C279" t="s">
        <v>4</v>
      </c>
      <c r="D279">
        <v>1999</v>
      </c>
      <c r="E279" t="s">
        <v>936</v>
      </c>
      <c r="F279" t="s">
        <v>992</v>
      </c>
      <c r="G279" t="s">
        <v>229</v>
      </c>
      <c r="H279" t="s">
        <v>938</v>
      </c>
      <c r="I279" t="s">
        <v>8</v>
      </c>
    </row>
    <row r="280" spans="1:9" x14ac:dyDescent="0.2">
      <c r="A280" t="s">
        <v>589</v>
      </c>
      <c r="B280" t="s">
        <v>62</v>
      </c>
      <c r="C280" t="s">
        <v>62</v>
      </c>
      <c r="D280">
        <v>1998</v>
      </c>
      <c r="E280" t="s">
        <v>513</v>
      </c>
      <c r="F280" t="s">
        <v>514</v>
      </c>
      <c r="G280" t="s">
        <v>590</v>
      </c>
      <c r="H280" t="s">
        <v>516</v>
      </c>
      <c r="I280" t="s">
        <v>38</v>
      </c>
    </row>
    <row r="281" spans="1:9" x14ac:dyDescent="0.2">
      <c r="A281" t="s">
        <v>491</v>
      </c>
      <c r="B281" t="s">
        <v>4</v>
      </c>
      <c r="C281" t="s">
        <v>4</v>
      </c>
      <c r="D281">
        <v>1996</v>
      </c>
      <c r="E281" t="s">
        <v>472</v>
      </c>
      <c r="F281" t="s">
        <v>1229</v>
      </c>
      <c r="G281" t="s">
        <v>499</v>
      </c>
      <c r="H281" t="s">
        <v>462</v>
      </c>
      <c r="I281" t="s">
        <v>463</v>
      </c>
    </row>
    <row r="282" spans="1:9" x14ac:dyDescent="0.2">
      <c r="A282" t="s">
        <v>491</v>
      </c>
      <c r="B282" t="s">
        <v>4</v>
      </c>
      <c r="C282" t="s">
        <v>4</v>
      </c>
      <c r="D282">
        <v>2009</v>
      </c>
      <c r="E282" t="s">
        <v>472</v>
      </c>
      <c r="F282" t="s">
        <v>1229</v>
      </c>
      <c r="G282" t="s">
        <v>492</v>
      </c>
      <c r="H282" t="s">
        <v>462</v>
      </c>
      <c r="I282" t="s">
        <v>463</v>
      </c>
    </row>
    <row r="283" spans="1:9" x14ac:dyDescent="0.2">
      <c r="A283" t="s">
        <v>345</v>
      </c>
      <c r="B283" t="s">
        <v>261</v>
      </c>
      <c r="C283" t="s">
        <v>261</v>
      </c>
      <c r="D283">
        <v>2007</v>
      </c>
      <c r="E283" t="s">
        <v>161</v>
      </c>
      <c r="F283" t="s">
        <v>346</v>
      </c>
      <c r="G283" t="s">
        <v>207</v>
      </c>
      <c r="H283" t="s">
        <v>156</v>
      </c>
      <c r="I283" t="s">
        <v>164</v>
      </c>
    </row>
    <row r="284" spans="1:9" x14ac:dyDescent="0.2">
      <c r="A284" t="s">
        <v>1137</v>
      </c>
      <c r="B284" t="s">
        <v>62</v>
      </c>
      <c r="C284" t="s">
        <v>62</v>
      </c>
      <c r="D284">
        <v>2000</v>
      </c>
      <c r="E284" t="s">
        <v>1138</v>
      </c>
      <c r="F284" t="s">
        <v>1139</v>
      </c>
      <c r="G284" t="s">
        <v>37</v>
      </c>
      <c r="H284" t="s">
        <v>1135</v>
      </c>
      <c r="I284" t="s">
        <v>38</v>
      </c>
    </row>
    <row r="285" spans="1:9" x14ac:dyDescent="0.2">
      <c r="A285" t="s">
        <v>415</v>
      </c>
      <c r="B285" t="s">
        <v>334</v>
      </c>
      <c r="C285" t="s">
        <v>334</v>
      </c>
      <c r="D285">
        <v>2008</v>
      </c>
      <c r="E285" t="s">
        <v>192</v>
      </c>
      <c r="F285" t="s">
        <v>416</v>
      </c>
      <c r="G285" t="s">
        <v>336</v>
      </c>
      <c r="H285" t="s">
        <v>156</v>
      </c>
      <c r="I285" t="s">
        <v>195</v>
      </c>
    </row>
    <row r="286" spans="1:9" x14ac:dyDescent="0.2">
      <c r="A286" t="s">
        <v>1131</v>
      </c>
      <c r="B286" t="s">
        <v>4</v>
      </c>
      <c r="C286" t="s">
        <v>4</v>
      </c>
      <c r="D286">
        <v>2009</v>
      </c>
      <c r="E286" t="s">
        <v>1132</v>
      </c>
      <c r="F286" t="s">
        <v>1133</v>
      </c>
      <c r="G286" t="s">
        <v>1134</v>
      </c>
      <c r="H286" t="s">
        <v>1135</v>
      </c>
      <c r="I286" t="s">
        <v>1136</v>
      </c>
    </row>
    <row r="287" spans="1:9" x14ac:dyDescent="0.2">
      <c r="A287" t="s">
        <v>968</v>
      </c>
      <c r="B287" t="s">
        <v>969</v>
      </c>
      <c r="C287" t="s">
        <v>970</v>
      </c>
      <c r="D287">
        <v>2009</v>
      </c>
      <c r="E287" t="s">
        <v>936</v>
      </c>
      <c r="F287" t="s">
        <v>1245</v>
      </c>
      <c r="G287" t="s">
        <v>971</v>
      </c>
      <c r="H287" t="s">
        <v>938</v>
      </c>
      <c r="I287" t="s">
        <v>8</v>
      </c>
    </row>
    <row r="288" spans="1:9" x14ac:dyDescent="0.2">
      <c r="A288" t="s">
        <v>225</v>
      </c>
      <c r="B288" t="s">
        <v>62</v>
      </c>
      <c r="C288" t="s">
        <v>62</v>
      </c>
      <c r="D288">
        <v>2000</v>
      </c>
      <c r="E288" t="s">
        <v>211</v>
      </c>
      <c r="F288" t="s">
        <v>226</v>
      </c>
      <c r="G288" t="s">
        <v>217</v>
      </c>
      <c r="H288" t="s">
        <v>156</v>
      </c>
      <c r="I288" t="s">
        <v>38</v>
      </c>
    </row>
    <row r="289" spans="1:9" x14ac:dyDescent="0.2">
      <c r="A289" t="s">
        <v>985</v>
      </c>
      <c r="B289" t="s">
        <v>4</v>
      </c>
      <c r="C289" t="s">
        <v>4</v>
      </c>
      <c r="D289">
        <v>2006</v>
      </c>
      <c r="E289" t="s">
        <v>936</v>
      </c>
      <c r="F289" t="s">
        <v>937</v>
      </c>
      <c r="G289" t="s">
        <v>105</v>
      </c>
      <c r="H289" t="s">
        <v>938</v>
      </c>
      <c r="I289" t="s">
        <v>8</v>
      </c>
    </row>
    <row r="290" spans="1:9" x14ac:dyDescent="0.2">
      <c r="A290" t="s">
        <v>188</v>
      </c>
      <c r="B290" t="s">
        <v>152</v>
      </c>
      <c r="C290" t="s">
        <v>152</v>
      </c>
      <c r="D290">
        <v>2007</v>
      </c>
      <c r="E290" t="s">
        <v>153</v>
      </c>
      <c r="F290" t="s">
        <v>189</v>
      </c>
      <c r="G290" t="s">
        <v>155</v>
      </c>
      <c r="H290" t="s">
        <v>156</v>
      </c>
      <c r="I290" t="s">
        <v>8</v>
      </c>
    </row>
    <row r="291" spans="1:9" x14ac:dyDescent="0.2">
      <c r="A291" t="s">
        <v>682</v>
      </c>
      <c r="B291" t="s">
        <v>4</v>
      </c>
      <c r="C291" t="s">
        <v>4</v>
      </c>
      <c r="D291">
        <v>2002</v>
      </c>
      <c r="E291" t="s">
        <v>641</v>
      </c>
      <c r="F291" t="s">
        <v>683</v>
      </c>
      <c r="G291" t="s">
        <v>684</v>
      </c>
      <c r="H291" t="s">
        <v>639</v>
      </c>
      <c r="I291" t="s">
        <v>8</v>
      </c>
    </row>
    <row r="292" spans="1:9" x14ac:dyDescent="0.2">
      <c r="A292" t="s">
        <v>395</v>
      </c>
      <c r="B292" t="s">
        <v>396</v>
      </c>
      <c r="C292" t="s">
        <v>397</v>
      </c>
      <c r="D292">
        <v>2002</v>
      </c>
      <c r="E292" t="s">
        <v>220</v>
      </c>
      <c r="F292" t="s">
        <v>398</v>
      </c>
      <c r="G292" t="s">
        <v>399</v>
      </c>
      <c r="H292" t="s">
        <v>156</v>
      </c>
      <c r="I292" t="s">
        <v>38</v>
      </c>
    </row>
    <row r="293" spans="1:9" x14ac:dyDescent="0.2">
      <c r="A293" t="s">
        <v>419</v>
      </c>
      <c r="B293" t="s">
        <v>420</v>
      </c>
      <c r="C293" t="s">
        <v>181</v>
      </c>
      <c r="D293">
        <v>2000</v>
      </c>
      <c r="E293" t="s">
        <v>220</v>
      </c>
      <c r="F293" t="s">
        <v>421</v>
      </c>
      <c r="G293" t="s">
        <v>41</v>
      </c>
      <c r="H293" t="s">
        <v>156</v>
      </c>
      <c r="I293" t="s">
        <v>38</v>
      </c>
    </row>
    <row r="294" spans="1:9" x14ac:dyDescent="0.2">
      <c r="A294" t="s">
        <v>564</v>
      </c>
      <c r="B294" t="s">
        <v>532</v>
      </c>
      <c r="C294" t="s">
        <v>512</v>
      </c>
      <c r="D294" s="3" t="s">
        <v>1222</v>
      </c>
      <c r="E294" t="s">
        <v>513</v>
      </c>
      <c r="F294" t="s">
        <v>514</v>
      </c>
      <c r="G294" t="s">
        <v>534</v>
      </c>
      <c r="H294" t="s">
        <v>516</v>
      </c>
      <c r="I294" t="s">
        <v>38</v>
      </c>
    </row>
    <row r="295" spans="1:9" x14ac:dyDescent="0.2">
      <c r="A295" t="s">
        <v>921</v>
      </c>
      <c r="B295" t="s">
        <v>4</v>
      </c>
      <c r="C295" t="s">
        <v>4</v>
      </c>
      <c r="D295">
        <v>2004</v>
      </c>
      <c r="E295" t="s">
        <v>922</v>
      </c>
      <c r="F295" t="s">
        <v>923</v>
      </c>
      <c r="G295" t="s">
        <v>369</v>
      </c>
      <c r="H295" t="s">
        <v>907</v>
      </c>
      <c r="I295" t="s">
        <v>924</v>
      </c>
    </row>
    <row r="296" spans="1:9" x14ac:dyDescent="0.2">
      <c r="A296" t="s">
        <v>1209</v>
      </c>
      <c r="B296" t="s">
        <v>280</v>
      </c>
      <c r="C296" t="s">
        <v>280</v>
      </c>
      <c r="D296">
        <v>1999</v>
      </c>
      <c r="E296" t="s">
        <v>1210</v>
      </c>
      <c r="F296" t="s">
        <v>1255</v>
      </c>
      <c r="G296" t="s">
        <v>1211</v>
      </c>
      <c r="H296" t="s">
        <v>1202</v>
      </c>
      <c r="I296" t="s">
        <v>8</v>
      </c>
    </row>
    <row r="297" spans="1:9" x14ac:dyDescent="0.2">
      <c r="A297" t="s">
        <v>916</v>
      </c>
      <c r="B297" t="s">
        <v>69</v>
      </c>
      <c r="C297" t="s">
        <v>69</v>
      </c>
      <c r="D297">
        <v>2003</v>
      </c>
      <c r="E297" t="s">
        <v>909</v>
      </c>
      <c r="F297" t="s">
        <v>917</v>
      </c>
      <c r="G297" t="s">
        <v>918</v>
      </c>
      <c r="H297" t="s">
        <v>907</v>
      </c>
      <c r="I297" t="s">
        <v>911</v>
      </c>
    </row>
    <row r="298" spans="1:9" x14ac:dyDescent="0.2">
      <c r="A298" t="s">
        <v>916</v>
      </c>
      <c r="B298" t="s">
        <v>920</v>
      </c>
      <c r="C298" t="s">
        <v>920</v>
      </c>
      <c r="D298">
        <v>2004</v>
      </c>
      <c r="E298" t="s">
        <v>909</v>
      </c>
      <c r="F298" t="s">
        <v>917</v>
      </c>
      <c r="G298" t="s">
        <v>918</v>
      </c>
      <c r="H298" t="s">
        <v>907</v>
      </c>
      <c r="I298" t="s">
        <v>911</v>
      </c>
    </row>
    <row r="299" spans="1:9" x14ac:dyDescent="0.2">
      <c r="A299" t="s">
        <v>854</v>
      </c>
      <c r="B299" t="s">
        <v>89</v>
      </c>
      <c r="C299" t="s">
        <v>89</v>
      </c>
      <c r="D299">
        <v>1994</v>
      </c>
      <c r="E299" t="s">
        <v>258</v>
      </c>
      <c r="F299" t="s">
        <v>1235</v>
      </c>
      <c r="G299" t="s">
        <v>54</v>
      </c>
      <c r="H299" t="s">
        <v>853</v>
      </c>
      <c r="I299" t="s">
        <v>8</v>
      </c>
    </row>
    <row r="300" spans="1:9" x14ac:dyDescent="0.2">
      <c r="A300" t="s">
        <v>276</v>
      </c>
      <c r="B300" t="s">
        <v>62</v>
      </c>
      <c r="C300" t="s">
        <v>62</v>
      </c>
      <c r="D300">
        <v>1998</v>
      </c>
      <c r="E300" t="s">
        <v>211</v>
      </c>
      <c r="F300" t="s">
        <v>277</v>
      </c>
      <c r="G300" t="s">
        <v>37</v>
      </c>
      <c r="H300" t="s">
        <v>156</v>
      </c>
      <c r="I300" t="s">
        <v>38</v>
      </c>
    </row>
    <row r="301" spans="1:9" x14ac:dyDescent="0.2">
      <c r="A301" t="s">
        <v>961</v>
      </c>
      <c r="B301" t="s">
        <v>77</v>
      </c>
      <c r="C301" t="s">
        <v>17</v>
      </c>
      <c r="D301">
        <v>2002</v>
      </c>
      <c r="E301" t="s">
        <v>936</v>
      </c>
      <c r="F301" t="s">
        <v>951</v>
      </c>
      <c r="G301" t="s">
        <v>105</v>
      </c>
      <c r="H301" t="s">
        <v>938</v>
      </c>
      <c r="I301" t="s">
        <v>8</v>
      </c>
    </row>
    <row r="302" spans="1:9" x14ac:dyDescent="0.2">
      <c r="A302" t="s">
        <v>308</v>
      </c>
      <c r="B302" t="s">
        <v>215</v>
      </c>
      <c r="C302" t="s">
        <v>215</v>
      </c>
      <c r="D302">
        <v>2007</v>
      </c>
      <c r="E302" t="s">
        <v>211</v>
      </c>
      <c r="F302" t="s">
        <v>226</v>
      </c>
      <c r="G302" t="s">
        <v>217</v>
      </c>
      <c r="H302" t="s">
        <v>156</v>
      </c>
      <c r="I302" t="s">
        <v>38</v>
      </c>
    </row>
    <row r="303" spans="1:9" x14ac:dyDescent="0.2">
      <c r="A303" t="s">
        <v>780</v>
      </c>
      <c r="B303" t="s">
        <v>62</v>
      </c>
      <c r="C303" t="s">
        <v>62</v>
      </c>
      <c r="D303">
        <v>2000</v>
      </c>
      <c r="E303" t="s">
        <v>637</v>
      </c>
      <c r="F303" t="s">
        <v>781</v>
      </c>
      <c r="G303" t="s">
        <v>259</v>
      </c>
      <c r="H303" t="s">
        <v>639</v>
      </c>
      <c r="I303" t="s">
        <v>463</v>
      </c>
    </row>
    <row r="304" spans="1:9" x14ac:dyDescent="0.2">
      <c r="A304" t="s">
        <v>329</v>
      </c>
      <c r="B304" t="s">
        <v>4</v>
      </c>
      <c r="C304" t="s">
        <v>4</v>
      </c>
      <c r="D304">
        <v>2008</v>
      </c>
      <c r="E304" t="s">
        <v>153</v>
      </c>
      <c r="F304" t="s">
        <v>204</v>
      </c>
      <c r="G304" t="s">
        <v>105</v>
      </c>
      <c r="H304" t="s">
        <v>156</v>
      </c>
      <c r="I304" t="s">
        <v>8</v>
      </c>
    </row>
    <row r="305" spans="1:9" x14ac:dyDescent="0.2">
      <c r="A305" t="s">
        <v>1122</v>
      </c>
      <c r="B305" t="s">
        <v>88</v>
      </c>
      <c r="C305" t="s">
        <v>89</v>
      </c>
      <c r="D305">
        <v>1994</v>
      </c>
      <c r="E305" t="s">
        <v>1102</v>
      </c>
      <c r="F305" t="s">
        <v>1251</v>
      </c>
      <c r="G305" t="s">
        <v>1116</v>
      </c>
      <c r="H305" t="s">
        <v>1103</v>
      </c>
      <c r="I305" t="s">
        <v>452</v>
      </c>
    </row>
    <row r="306" spans="1:9" x14ac:dyDescent="0.2">
      <c r="A306" t="s">
        <v>1114</v>
      </c>
      <c r="B306" t="s">
        <v>270</v>
      </c>
      <c r="C306" t="s">
        <v>62</v>
      </c>
      <c r="D306">
        <v>1991</v>
      </c>
      <c r="E306" t="s">
        <v>1102</v>
      </c>
      <c r="F306" t="s">
        <v>1115</v>
      </c>
      <c r="G306" t="s">
        <v>1116</v>
      </c>
      <c r="H306" t="s">
        <v>1103</v>
      </c>
      <c r="I306" t="s">
        <v>452</v>
      </c>
    </row>
    <row r="307" spans="1:9" x14ac:dyDescent="0.2">
      <c r="A307" t="s">
        <v>1020</v>
      </c>
      <c r="B307" t="s">
        <v>62</v>
      </c>
      <c r="C307" t="s">
        <v>62</v>
      </c>
      <c r="D307">
        <v>1998</v>
      </c>
      <c r="E307" t="s">
        <v>1005</v>
      </c>
      <c r="F307" t="s">
        <v>1021</v>
      </c>
      <c r="G307" t="s">
        <v>259</v>
      </c>
      <c r="H307" t="s">
        <v>1008</v>
      </c>
      <c r="I307" t="s">
        <v>38</v>
      </c>
    </row>
    <row r="308" spans="1:9" x14ac:dyDescent="0.2">
      <c r="A308" t="s">
        <v>1094</v>
      </c>
      <c r="B308" t="s">
        <v>62</v>
      </c>
      <c r="C308" t="s">
        <v>62</v>
      </c>
      <c r="D308">
        <v>1995</v>
      </c>
      <c r="E308" t="s">
        <v>1095</v>
      </c>
      <c r="F308" t="s">
        <v>1250</v>
      </c>
      <c r="G308" t="s">
        <v>1258</v>
      </c>
      <c r="H308" t="s">
        <v>1096</v>
      </c>
      <c r="I308" t="s">
        <v>452</v>
      </c>
    </row>
    <row r="309" spans="1:9" x14ac:dyDescent="0.2">
      <c r="A309" t="s">
        <v>549</v>
      </c>
      <c r="B309" t="s">
        <v>62</v>
      </c>
      <c r="C309" t="s">
        <v>62</v>
      </c>
      <c r="D309">
        <v>1998</v>
      </c>
      <c r="E309" t="s">
        <v>513</v>
      </c>
      <c r="F309" t="s">
        <v>533</v>
      </c>
      <c r="G309" t="s">
        <v>545</v>
      </c>
      <c r="H309" t="s">
        <v>516</v>
      </c>
      <c r="I309" t="s">
        <v>38</v>
      </c>
    </row>
    <row r="310" spans="1:9" x14ac:dyDescent="0.2">
      <c r="A310" t="s">
        <v>437</v>
      </c>
      <c r="B310" t="s">
        <v>4</v>
      </c>
      <c r="C310" t="s">
        <v>4</v>
      </c>
      <c r="D310">
        <v>2001</v>
      </c>
      <c r="E310" t="s">
        <v>220</v>
      </c>
      <c r="F310" t="s">
        <v>438</v>
      </c>
      <c r="G310" t="s">
        <v>439</v>
      </c>
      <c r="H310" t="s">
        <v>156</v>
      </c>
      <c r="I310" t="s">
        <v>38</v>
      </c>
    </row>
    <row r="311" spans="1:9" x14ac:dyDescent="0.2">
      <c r="A311" t="s">
        <v>269</v>
      </c>
      <c r="B311" t="s">
        <v>270</v>
      </c>
      <c r="C311" t="s">
        <v>62</v>
      </c>
      <c r="D311">
        <v>1991</v>
      </c>
      <c r="E311" t="s">
        <v>220</v>
      </c>
      <c r="F311" t="s">
        <v>209</v>
      </c>
      <c r="G311" t="s">
        <v>64</v>
      </c>
      <c r="H311" t="s">
        <v>156</v>
      </c>
      <c r="I311" t="s">
        <v>38</v>
      </c>
    </row>
    <row r="312" spans="1:9" x14ac:dyDescent="0.2">
      <c r="A312" t="s">
        <v>269</v>
      </c>
      <c r="B312" t="s">
        <v>383</v>
      </c>
      <c r="C312" t="s">
        <v>219</v>
      </c>
      <c r="D312">
        <v>1999</v>
      </c>
      <c r="E312" t="s">
        <v>220</v>
      </c>
      <c r="F312" t="s">
        <v>209</v>
      </c>
      <c r="G312" t="s">
        <v>64</v>
      </c>
      <c r="H312" t="s">
        <v>156</v>
      </c>
      <c r="I312" t="s">
        <v>38</v>
      </c>
    </row>
    <row r="313" spans="1:9" x14ac:dyDescent="0.2">
      <c r="A313" t="s">
        <v>442</v>
      </c>
      <c r="B313" t="s">
        <v>62</v>
      </c>
      <c r="C313" t="s">
        <v>62</v>
      </c>
      <c r="D313">
        <v>1997</v>
      </c>
      <c r="E313" t="s">
        <v>220</v>
      </c>
      <c r="F313" t="s">
        <v>275</v>
      </c>
      <c r="G313" t="s">
        <v>46</v>
      </c>
      <c r="H313" t="s">
        <v>156</v>
      </c>
      <c r="I313" t="s">
        <v>38</v>
      </c>
    </row>
    <row r="314" spans="1:9" x14ac:dyDescent="0.2">
      <c r="A314" t="s">
        <v>442</v>
      </c>
      <c r="B314" t="s">
        <v>4</v>
      </c>
      <c r="C314" t="s">
        <v>4</v>
      </c>
      <c r="D314">
        <v>2002</v>
      </c>
      <c r="E314" t="s">
        <v>220</v>
      </c>
      <c r="F314" t="s">
        <v>275</v>
      </c>
      <c r="G314" t="s">
        <v>46</v>
      </c>
      <c r="H314" t="s">
        <v>156</v>
      </c>
      <c r="I314" t="s">
        <v>38</v>
      </c>
    </row>
    <row r="315" spans="1:9" x14ac:dyDescent="0.2">
      <c r="A315" t="s">
        <v>274</v>
      </c>
      <c r="B315" t="s">
        <v>34</v>
      </c>
      <c r="C315" t="s">
        <v>34</v>
      </c>
      <c r="D315">
        <v>1998</v>
      </c>
      <c r="E315" t="s">
        <v>220</v>
      </c>
      <c r="F315" t="s">
        <v>275</v>
      </c>
      <c r="G315" t="s">
        <v>37</v>
      </c>
      <c r="H315" t="s">
        <v>156</v>
      </c>
      <c r="I315" t="s">
        <v>38</v>
      </c>
    </row>
    <row r="316" spans="1:9" x14ac:dyDescent="0.2">
      <c r="A316" t="s">
        <v>286</v>
      </c>
      <c r="B316" t="s">
        <v>4</v>
      </c>
      <c r="C316" t="s">
        <v>4</v>
      </c>
      <c r="D316">
        <v>2010</v>
      </c>
      <c r="E316" t="s">
        <v>153</v>
      </c>
      <c r="F316" t="s">
        <v>234</v>
      </c>
      <c r="G316" t="s">
        <v>105</v>
      </c>
      <c r="H316" t="s">
        <v>156</v>
      </c>
      <c r="I316" t="s">
        <v>8</v>
      </c>
    </row>
    <row r="317" spans="1:9" x14ac:dyDescent="0.2">
      <c r="A317" t="s">
        <v>144</v>
      </c>
      <c r="B317" t="s">
        <v>4</v>
      </c>
      <c r="C317" t="s">
        <v>4</v>
      </c>
      <c r="D317">
        <v>1996</v>
      </c>
      <c r="E317" t="s">
        <v>20</v>
      </c>
      <c r="F317" t="s">
        <v>145</v>
      </c>
      <c r="G317" t="s">
        <v>146</v>
      </c>
      <c r="H317" t="s">
        <v>7</v>
      </c>
      <c r="I317" t="s">
        <v>23</v>
      </c>
    </row>
    <row r="318" spans="1:9" x14ac:dyDescent="0.2">
      <c r="A318" t="s">
        <v>224</v>
      </c>
      <c r="B318" t="s">
        <v>304</v>
      </c>
      <c r="C318" t="s">
        <v>304</v>
      </c>
      <c r="D318">
        <v>2000</v>
      </c>
      <c r="E318" t="s">
        <v>220</v>
      </c>
      <c r="F318" t="s">
        <v>209</v>
      </c>
      <c r="G318" t="s">
        <v>330</v>
      </c>
      <c r="H318" t="s">
        <v>156</v>
      </c>
      <c r="I318" t="s">
        <v>38</v>
      </c>
    </row>
    <row r="319" spans="1:9" x14ac:dyDescent="0.2">
      <c r="A319" t="s">
        <v>224</v>
      </c>
      <c r="B319" t="s">
        <v>215</v>
      </c>
      <c r="C319" t="s">
        <v>215</v>
      </c>
      <c r="D319">
        <v>2001</v>
      </c>
      <c r="E319" t="s">
        <v>220</v>
      </c>
      <c r="F319" t="s">
        <v>209</v>
      </c>
      <c r="G319" t="s">
        <v>64</v>
      </c>
      <c r="H319" t="s">
        <v>156</v>
      </c>
      <c r="I319" t="s">
        <v>38</v>
      </c>
    </row>
    <row r="320" spans="1:9" x14ac:dyDescent="0.2">
      <c r="A320" t="s">
        <v>391</v>
      </c>
      <c r="B320" t="s">
        <v>152</v>
      </c>
      <c r="C320" t="s">
        <v>152</v>
      </c>
      <c r="D320">
        <v>2007</v>
      </c>
      <c r="E320" t="s">
        <v>153</v>
      </c>
      <c r="F320" t="s">
        <v>392</v>
      </c>
      <c r="G320" t="s">
        <v>155</v>
      </c>
      <c r="H320" t="s">
        <v>156</v>
      </c>
      <c r="I320" t="s">
        <v>8</v>
      </c>
    </row>
    <row r="321" spans="1:9" x14ac:dyDescent="0.2">
      <c r="A321" t="s">
        <v>570</v>
      </c>
      <c r="B321" t="s">
        <v>4</v>
      </c>
      <c r="C321" t="s">
        <v>4</v>
      </c>
      <c r="D321">
        <v>2004</v>
      </c>
      <c r="E321" t="s">
        <v>518</v>
      </c>
      <c r="F321" t="s">
        <v>571</v>
      </c>
      <c r="G321" t="s">
        <v>369</v>
      </c>
      <c r="H321" t="s">
        <v>516</v>
      </c>
      <c r="I321" t="s">
        <v>520</v>
      </c>
    </row>
    <row r="322" spans="1:9" x14ac:dyDescent="0.2">
      <c r="A322" t="s">
        <v>474</v>
      </c>
      <c r="B322" t="s">
        <v>117</v>
      </c>
      <c r="C322" t="s">
        <v>117</v>
      </c>
      <c r="D322">
        <v>1996</v>
      </c>
      <c r="E322" t="s">
        <v>460</v>
      </c>
      <c r="F322" t="s">
        <v>475</v>
      </c>
      <c r="G322" t="s">
        <v>476</v>
      </c>
      <c r="H322" t="s">
        <v>462</v>
      </c>
      <c r="I322" t="s">
        <v>463</v>
      </c>
    </row>
    <row r="323" spans="1:9" x14ac:dyDescent="0.2">
      <c r="A323" t="s">
        <v>661</v>
      </c>
      <c r="B323" t="s">
        <v>4</v>
      </c>
      <c r="C323" t="s">
        <v>4</v>
      </c>
      <c r="D323">
        <v>1994</v>
      </c>
      <c r="E323" t="s">
        <v>641</v>
      </c>
      <c r="F323" t="s">
        <v>662</v>
      </c>
      <c r="G323" t="s">
        <v>95</v>
      </c>
      <c r="H323" t="s">
        <v>639</v>
      </c>
      <c r="I323" t="s">
        <v>8</v>
      </c>
    </row>
    <row r="324" spans="1:9" x14ac:dyDescent="0.2">
      <c r="A324" t="s">
        <v>878</v>
      </c>
      <c r="B324" t="s">
        <v>69</v>
      </c>
      <c r="C324" t="s">
        <v>69</v>
      </c>
      <c r="D324">
        <v>1995</v>
      </c>
      <c r="E324" t="s">
        <v>879</v>
      </c>
      <c r="F324" t="s">
        <v>880</v>
      </c>
      <c r="G324" t="s">
        <v>881</v>
      </c>
      <c r="H324" t="s">
        <v>877</v>
      </c>
      <c r="I324" t="s">
        <v>463</v>
      </c>
    </row>
    <row r="325" spans="1:9" x14ac:dyDescent="0.2">
      <c r="A325" t="s">
        <v>666</v>
      </c>
      <c r="B325" t="s">
        <v>667</v>
      </c>
      <c r="C325" t="s">
        <v>667</v>
      </c>
      <c r="D325">
        <v>1995</v>
      </c>
      <c r="E325" t="s">
        <v>654</v>
      </c>
      <c r="F325" t="s">
        <v>668</v>
      </c>
      <c r="G325" t="s">
        <v>669</v>
      </c>
      <c r="H325" t="s">
        <v>639</v>
      </c>
      <c r="I325" t="s">
        <v>8</v>
      </c>
    </row>
    <row r="326" spans="1:9" x14ac:dyDescent="0.2">
      <c r="A326" t="s">
        <v>1165</v>
      </c>
      <c r="B326" t="s">
        <v>4</v>
      </c>
      <c r="C326" t="s">
        <v>4</v>
      </c>
      <c r="D326">
        <v>1993</v>
      </c>
      <c r="E326" t="s">
        <v>1157</v>
      </c>
      <c r="F326" t="s">
        <v>1166</v>
      </c>
      <c r="G326" t="s">
        <v>1167</v>
      </c>
      <c r="H326" t="s">
        <v>1158</v>
      </c>
      <c r="I326" t="s">
        <v>8</v>
      </c>
    </row>
    <row r="327" spans="1:9" x14ac:dyDescent="0.2">
      <c r="A327" t="s">
        <v>819</v>
      </c>
      <c r="B327" t="s">
        <v>4</v>
      </c>
      <c r="C327" t="s">
        <v>4</v>
      </c>
      <c r="D327">
        <v>1991</v>
      </c>
      <c r="E327" t="s">
        <v>641</v>
      </c>
      <c r="F327" t="s">
        <v>773</v>
      </c>
      <c r="G327" t="s">
        <v>95</v>
      </c>
      <c r="H327" t="s">
        <v>639</v>
      </c>
      <c r="I327" t="s">
        <v>8</v>
      </c>
    </row>
    <row r="328" spans="1:9" x14ac:dyDescent="0.2">
      <c r="A328" t="s">
        <v>987</v>
      </c>
      <c r="B328" t="s">
        <v>957</v>
      </c>
      <c r="C328" t="s">
        <v>957</v>
      </c>
      <c r="D328">
        <v>1995</v>
      </c>
      <c r="E328" t="s">
        <v>936</v>
      </c>
      <c r="F328" t="s">
        <v>958</v>
      </c>
      <c r="G328" t="s">
        <v>959</v>
      </c>
      <c r="H328" t="s">
        <v>938</v>
      </c>
      <c r="I328" t="s">
        <v>8</v>
      </c>
    </row>
    <row r="329" spans="1:9" x14ac:dyDescent="0.2">
      <c r="A329" t="s">
        <v>466</v>
      </c>
      <c r="B329" t="s">
        <v>4</v>
      </c>
      <c r="C329" t="s">
        <v>4</v>
      </c>
      <c r="D329">
        <v>1995</v>
      </c>
      <c r="E329" t="s">
        <v>467</v>
      </c>
      <c r="F329" t="s">
        <v>1223</v>
      </c>
      <c r="G329" t="s">
        <v>468</v>
      </c>
      <c r="H329" t="s">
        <v>462</v>
      </c>
      <c r="I329" t="s">
        <v>463</v>
      </c>
    </row>
    <row r="330" spans="1:9" x14ac:dyDescent="0.2">
      <c r="A330" t="s">
        <v>863</v>
      </c>
      <c r="B330" t="s">
        <v>94</v>
      </c>
      <c r="C330" t="s">
        <v>94</v>
      </c>
      <c r="D330">
        <v>1994</v>
      </c>
      <c r="E330" t="s">
        <v>852</v>
      </c>
      <c r="F330" t="s">
        <v>1244</v>
      </c>
      <c r="G330" t="s">
        <v>328</v>
      </c>
      <c r="H330" t="s">
        <v>853</v>
      </c>
      <c r="I330" t="s">
        <v>8</v>
      </c>
    </row>
    <row r="331" spans="1:9" x14ac:dyDescent="0.2">
      <c r="A331" t="s">
        <v>251</v>
      </c>
      <c r="B331" t="s">
        <v>69</v>
      </c>
      <c r="C331" t="s">
        <v>69</v>
      </c>
      <c r="D331">
        <v>1999</v>
      </c>
      <c r="E331" t="s">
        <v>172</v>
      </c>
      <c r="F331" t="s">
        <v>252</v>
      </c>
      <c r="G331" t="s">
        <v>163</v>
      </c>
      <c r="H331" t="s">
        <v>156</v>
      </c>
      <c r="I331" t="s">
        <v>174</v>
      </c>
    </row>
    <row r="332" spans="1:9" x14ac:dyDescent="0.2">
      <c r="A332" t="s">
        <v>593</v>
      </c>
      <c r="B332" t="s">
        <v>4</v>
      </c>
      <c r="C332" t="s">
        <v>4</v>
      </c>
      <c r="D332">
        <v>2010</v>
      </c>
      <c r="E332" t="s">
        <v>536</v>
      </c>
      <c r="F332" t="s">
        <v>560</v>
      </c>
      <c r="G332" t="s">
        <v>369</v>
      </c>
      <c r="H332" t="s">
        <v>516</v>
      </c>
      <c r="I332" t="s">
        <v>8</v>
      </c>
    </row>
    <row r="333" spans="1:9" x14ac:dyDescent="0.2">
      <c r="A333" t="s">
        <v>264</v>
      </c>
      <c r="B333" t="s">
        <v>219</v>
      </c>
      <c r="C333" t="s">
        <v>219</v>
      </c>
      <c r="D333">
        <v>2002</v>
      </c>
      <c r="E333" t="s">
        <v>220</v>
      </c>
      <c r="F333" t="s">
        <v>265</v>
      </c>
      <c r="G333" t="s">
        <v>266</v>
      </c>
      <c r="H333" t="s">
        <v>156</v>
      </c>
      <c r="I333" t="s">
        <v>38</v>
      </c>
    </row>
    <row r="334" spans="1:9" x14ac:dyDescent="0.2">
      <c r="A334" t="s">
        <v>66</v>
      </c>
      <c r="B334" t="s">
        <v>4</v>
      </c>
      <c r="C334" t="s">
        <v>4</v>
      </c>
      <c r="D334">
        <v>2008</v>
      </c>
      <c r="E334" t="s">
        <v>5</v>
      </c>
      <c r="F334" t="s">
        <v>67</v>
      </c>
      <c r="G334" t="s">
        <v>41</v>
      </c>
      <c r="H334" t="s">
        <v>7</v>
      </c>
      <c r="I334" t="s">
        <v>8</v>
      </c>
    </row>
    <row r="335" spans="1:9" x14ac:dyDescent="0.2">
      <c r="A335" t="s">
        <v>106</v>
      </c>
      <c r="B335" t="s">
        <v>30</v>
      </c>
      <c r="C335" t="s">
        <v>30</v>
      </c>
      <c r="D335">
        <v>2009</v>
      </c>
      <c r="E335" t="s">
        <v>5</v>
      </c>
      <c r="F335" t="s">
        <v>107</v>
      </c>
      <c r="G335" t="s">
        <v>108</v>
      </c>
      <c r="H335" t="s">
        <v>7</v>
      </c>
      <c r="I335" t="s">
        <v>8</v>
      </c>
    </row>
    <row r="336" spans="1:9" x14ac:dyDescent="0.2">
      <c r="A336" t="s">
        <v>429</v>
      </c>
      <c r="B336" t="s">
        <v>219</v>
      </c>
      <c r="C336" t="s">
        <v>219</v>
      </c>
      <c r="D336">
        <v>2002</v>
      </c>
      <c r="E336" t="s">
        <v>220</v>
      </c>
      <c r="F336" t="s">
        <v>361</v>
      </c>
      <c r="G336" t="s">
        <v>430</v>
      </c>
      <c r="H336" t="s">
        <v>156</v>
      </c>
      <c r="I336" t="s">
        <v>38</v>
      </c>
    </row>
    <row r="337" spans="1:9" x14ac:dyDescent="0.2">
      <c r="A337" t="s">
        <v>165</v>
      </c>
      <c r="B337" t="s">
        <v>166</v>
      </c>
      <c r="C337" t="s">
        <v>166</v>
      </c>
      <c r="D337">
        <v>2001</v>
      </c>
      <c r="E337" t="s">
        <v>167</v>
      </c>
      <c r="F337" t="s">
        <v>168</v>
      </c>
      <c r="G337" t="s">
        <v>169</v>
      </c>
      <c r="H337" t="s">
        <v>156</v>
      </c>
      <c r="I337" t="s">
        <v>170</v>
      </c>
    </row>
    <row r="338" spans="1:9" x14ac:dyDescent="0.2">
      <c r="A338" t="s">
        <v>673</v>
      </c>
      <c r="B338" t="s">
        <v>4</v>
      </c>
      <c r="C338" t="s">
        <v>4</v>
      </c>
      <c r="D338">
        <v>2006</v>
      </c>
      <c r="E338" t="s">
        <v>641</v>
      </c>
      <c r="F338" t="s">
        <v>652</v>
      </c>
      <c r="G338" t="s">
        <v>650</v>
      </c>
      <c r="H338" t="s">
        <v>639</v>
      </c>
      <c r="I338" t="s">
        <v>8</v>
      </c>
    </row>
    <row r="339" spans="1:9" x14ac:dyDescent="0.2">
      <c r="A339" t="s">
        <v>527</v>
      </c>
      <c r="B339" t="s">
        <v>4</v>
      </c>
      <c r="C339" t="s">
        <v>4</v>
      </c>
      <c r="D339">
        <v>2009</v>
      </c>
      <c r="E339" t="s">
        <v>518</v>
      </c>
      <c r="F339" t="s">
        <v>519</v>
      </c>
      <c r="G339" t="s">
        <v>369</v>
      </c>
      <c r="H339" t="s">
        <v>516</v>
      </c>
      <c r="I339" t="s">
        <v>520</v>
      </c>
    </row>
    <row r="340" spans="1:9" x14ac:dyDescent="0.2">
      <c r="A340" t="s">
        <v>527</v>
      </c>
      <c r="B340" t="s">
        <v>4</v>
      </c>
      <c r="C340" t="s">
        <v>4</v>
      </c>
      <c r="D340">
        <v>2009</v>
      </c>
      <c r="E340" t="s">
        <v>518</v>
      </c>
      <c r="F340" t="s">
        <v>519</v>
      </c>
      <c r="G340" t="s">
        <v>369</v>
      </c>
      <c r="H340" t="s">
        <v>516</v>
      </c>
      <c r="I340" t="s">
        <v>520</v>
      </c>
    </row>
    <row r="341" spans="1:9" x14ac:dyDescent="0.2">
      <c r="A341" t="s">
        <v>527</v>
      </c>
      <c r="B341" t="s">
        <v>4</v>
      </c>
      <c r="C341" t="s">
        <v>4</v>
      </c>
      <c r="D341">
        <v>2009</v>
      </c>
      <c r="E341" t="s">
        <v>518</v>
      </c>
      <c r="F341" t="s">
        <v>519</v>
      </c>
      <c r="G341" t="s">
        <v>369</v>
      </c>
      <c r="H341" t="s">
        <v>516</v>
      </c>
      <c r="I341" t="s">
        <v>520</v>
      </c>
    </row>
    <row r="342" spans="1:9" x14ac:dyDescent="0.2">
      <c r="A342" t="s">
        <v>527</v>
      </c>
      <c r="B342" t="s">
        <v>4</v>
      </c>
      <c r="C342" t="s">
        <v>4</v>
      </c>
      <c r="D342">
        <v>2010</v>
      </c>
      <c r="E342" t="s">
        <v>518</v>
      </c>
      <c r="F342" t="s">
        <v>519</v>
      </c>
      <c r="G342" t="s">
        <v>369</v>
      </c>
      <c r="H342" t="s">
        <v>516</v>
      </c>
      <c r="I342" t="s">
        <v>520</v>
      </c>
    </row>
    <row r="343" spans="1:9" x14ac:dyDescent="0.2">
      <c r="A343" t="s">
        <v>244</v>
      </c>
      <c r="B343" t="s">
        <v>62</v>
      </c>
      <c r="C343" t="s">
        <v>62</v>
      </c>
      <c r="D343">
        <v>1999</v>
      </c>
      <c r="E343" t="s">
        <v>220</v>
      </c>
      <c r="F343" t="s">
        <v>209</v>
      </c>
      <c r="G343" t="s">
        <v>64</v>
      </c>
      <c r="H343" t="s">
        <v>156</v>
      </c>
      <c r="I343" t="s">
        <v>38</v>
      </c>
    </row>
    <row r="344" spans="1:9" x14ac:dyDescent="0.2">
      <c r="A344" t="s">
        <v>913</v>
      </c>
      <c r="B344" t="s">
        <v>62</v>
      </c>
      <c r="C344" t="s">
        <v>62</v>
      </c>
      <c r="D344">
        <v>1990</v>
      </c>
      <c r="E344" t="s">
        <v>905</v>
      </c>
      <c r="F344" t="s">
        <v>914</v>
      </c>
      <c r="G344" t="s">
        <v>915</v>
      </c>
      <c r="H344" t="s">
        <v>907</v>
      </c>
      <c r="I344" t="s">
        <v>38</v>
      </c>
    </row>
    <row r="345" spans="1:9" x14ac:dyDescent="0.2">
      <c r="A345" t="s">
        <v>716</v>
      </c>
      <c r="B345" t="s">
        <v>4</v>
      </c>
      <c r="C345" t="s">
        <v>4</v>
      </c>
      <c r="D345">
        <v>1994</v>
      </c>
      <c r="E345" t="s">
        <v>641</v>
      </c>
      <c r="F345" t="s">
        <v>717</v>
      </c>
      <c r="G345" t="s">
        <v>718</v>
      </c>
      <c r="H345" t="s">
        <v>639</v>
      </c>
      <c r="I345" t="s">
        <v>8</v>
      </c>
    </row>
    <row r="346" spans="1:9" x14ac:dyDescent="0.2">
      <c r="A346" t="s">
        <v>648</v>
      </c>
      <c r="B346" t="s">
        <v>4</v>
      </c>
      <c r="C346" t="s">
        <v>4</v>
      </c>
      <c r="D346">
        <v>2000</v>
      </c>
      <c r="E346" t="s">
        <v>641</v>
      </c>
      <c r="F346" t="s">
        <v>649</v>
      </c>
      <c r="G346" t="s">
        <v>650</v>
      </c>
      <c r="H346" t="s">
        <v>639</v>
      </c>
      <c r="I346" t="s">
        <v>8</v>
      </c>
    </row>
    <row r="347" spans="1:9" x14ac:dyDescent="0.2">
      <c r="A347" t="s">
        <v>729</v>
      </c>
      <c r="B347" t="s">
        <v>4</v>
      </c>
      <c r="C347" t="s">
        <v>4</v>
      </c>
      <c r="D347">
        <v>2003</v>
      </c>
      <c r="E347" t="s">
        <v>641</v>
      </c>
      <c r="F347" t="s">
        <v>649</v>
      </c>
      <c r="G347" t="s">
        <v>650</v>
      </c>
      <c r="H347" t="s">
        <v>639</v>
      </c>
      <c r="I347" t="s">
        <v>8</v>
      </c>
    </row>
    <row r="348" spans="1:9" x14ac:dyDescent="0.2">
      <c r="A348" t="s">
        <v>884</v>
      </c>
      <c r="B348" t="s">
        <v>30</v>
      </c>
      <c r="C348" t="s">
        <v>30</v>
      </c>
      <c r="D348">
        <v>2008</v>
      </c>
      <c r="E348" t="s">
        <v>875</v>
      </c>
      <c r="F348" t="s">
        <v>883</v>
      </c>
      <c r="G348" t="s">
        <v>101</v>
      </c>
      <c r="H348" t="s">
        <v>877</v>
      </c>
      <c r="I348" t="s">
        <v>8</v>
      </c>
    </row>
    <row r="349" spans="1:9" x14ac:dyDescent="0.2">
      <c r="A349" t="s">
        <v>1022</v>
      </c>
      <c r="B349" t="s">
        <v>4</v>
      </c>
      <c r="C349" t="s">
        <v>4</v>
      </c>
      <c r="D349">
        <v>1996</v>
      </c>
      <c r="E349" t="s">
        <v>1023</v>
      </c>
      <c r="F349" t="s">
        <v>1024</v>
      </c>
      <c r="G349" t="s">
        <v>845</v>
      </c>
      <c r="H349" t="s">
        <v>1008</v>
      </c>
      <c r="I349" t="s">
        <v>8</v>
      </c>
    </row>
    <row r="350" spans="1:9" x14ac:dyDescent="0.2">
      <c r="A350" t="s">
        <v>1047</v>
      </c>
      <c r="B350" t="s">
        <v>69</v>
      </c>
      <c r="C350" t="s">
        <v>69</v>
      </c>
      <c r="D350">
        <v>2005</v>
      </c>
      <c r="E350" t="s">
        <v>456</v>
      </c>
      <c r="F350" t="s">
        <v>1048</v>
      </c>
      <c r="G350" t="s">
        <v>1049</v>
      </c>
      <c r="H350" t="s">
        <v>1050</v>
      </c>
      <c r="I350" t="s">
        <v>452</v>
      </c>
    </row>
    <row r="351" spans="1:9" x14ac:dyDescent="0.2">
      <c r="A351" t="s">
        <v>1198</v>
      </c>
      <c r="B351" t="s">
        <v>4</v>
      </c>
      <c r="C351" t="s">
        <v>4</v>
      </c>
      <c r="D351">
        <v>2010</v>
      </c>
      <c r="E351" t="s">
        <v>1199</v>
      </c>
      <c r="F351" t="s">
        <v>1200</v>
      </c>
      <c r="G351" t="s">
        <v>1201</v>
      </c>
      <c r="H351" t="s">
        <v>1202</v>
      </c>
      <c r="I351" t="s">
        <v>1093</v>
      </c>
    </row>
    <row r="352" spans="1:9" x14ac:dyDescent="0.2">
      <c r="A352" t="s">
        <v>116</v>
      </c>
      <c r="B352" t="s">
        <v>117</v>
      </c>
      <c r="C352" t="s">
        <v>117</v>
      </c>
      <c r="D352">
        <v>2009</v>
      </c>
      <c r="E352" t="s">
        <v>5</v>
      </c>
      <c r="F352" t="s">
        <v>40</v>
      </c>
      <c r="G352" t="s">
        <v>95</v>
      </c>
      <c r="H352" t="s">
        <v>7</v>
      </c>
      <c r="I352" t="s">
        <v>8</v>
      </c>
    </row>
    <row r="353" spans="1:9" x14ac:dyDescent="0.2">
      <c r="A353" t="s">
        <v>754</v>
      </c>
      <c r="B353" t="s">
        <v>231</v>
      </c>
      <c r="C353" t="s">
        <v>231</v>
      </c>
      <c r="D353">
        <v>2007</v>
      </c>
      <c r="E353" t="s">
        <v>641</v>
      </c>
      <c r="F353" t="s">
        <v>655</v>
      </c>
      <c r="G353" t="s">
        <v>369</v>
      </c>
      <c r="H353" t="s">
        <v>639</v>
      </c>
      <c r="I353" t="s">
        <v>8</v>
      </c>
    </row>
    <row r="354" spans="1:9" x14ac:dyDescent="0.2">
      <c r="A354" t="s">
        <v>818</v>
      </c>
      <c r="B354" t="s">
        <v>94</v>
      </c>
      <c r="C354" t="s">
        <v>94</v>
      </c>
      <c r="D354">
        <v>2003</v>
      </c>
      <c r="E354" t="s">
        <v>641</v>
      </c>
      <c r="F354" t="s">
        <v>655</v>
      </c>
      <c r="G354" t="s">
        <v>369</v>
      </c>
      <c r="H354" t="s">
        <v>639</v>
      </c>
      <c r="I354" t="s">
        <v>8</v>
      </c>
    </row>
    <row r="355" spans="1:9" x14ac:dyDescent="0.2">
      <c r="A355" t="s">
        <v>745</v>
      </c>
      <c r="B355" t="s">
        <v>94</v>
      </c>
      <c r="C355" t="s">
        <v>94</v>
      </c>
      <c r="D355">
        <v>2000</v>
      </c>
      <c r="E355" t="s">
        <v>641</v>
      </c>
      <c r="F355" t="s">
        <v>655</v>
      </c>
      <c r="G355" t="s">
        <v>746</v>
      </c>
      <c r="H355" t="s">
        <v>639</v>
      </c>
      <c r="I355" t="s">
        <v>8</v>
      </c>
    </row>
    <row r="356" spans="1:9" x14ac:dyDescent="0.2">
      <c r="A356" t="s">
        <v>432</v>
      </c>
      <c r="B356" t="s">
        <v>62</v>
      </c>
      <c r="C356" t="s">
        <v>62</v>
      </c>
      <c r="D356">
        <v>1998</v>
      </c>
      <c r="E356" t="s">
        <v>211</v>
      </c>
      <c r="F356" t="s">
        <v>433</v>
      </c>
      <c r="G356" t="s">
        <v>46</v>
      </c>
      <c r="H356" t="s">
        <v>156</v>
      </c>
      <c r="I356" t="s">
        <v>38</v>
      </c>
    </row>
    <row r="357" spans="1:9" x14ac:dyDescent="0.2">
      <c r="A357" t="s">
        <v>611</v>
      </c>
      <c r="B357" t="s">
        <v>304</v>
      </c>
      <c r="C357" t="s">
        <v>304</v>
      </c>
      <c r="D357">
        <v>1999</v>
      </c>
      <c r="E357" t="s">
        <v>513</v>
      </c>
      <c r="F357" t="s">
        <v>612</v>
      </c>
      <c r="G357" t="s">
        <v>399</v>
      </c>
      <c r="H357" t="s">
        <v>516</v>
      </c>
      <c r="I357" t="s">
        <v>38</v>
      </c>
    </row>
    <row r="358" spans="1:9" x14ac:dyDescent="0.2">
      <c r="A358" t="s">
        <v>160</v>
      </c>
      <c r="B358" t="s">
        <v>69</v>
      </c>
      <c r="C358" t="s">
        <v>69</v>
      </c>
      <c r="D358">
        <v>1997</v>
      </c>
      <c r="E358" t="s">
        <v>161</v>
      </c>
      <c r="F358" t="s">
        <v>162</v>
      </c>
      <c r="G358" t="s">
        <v>163</v>
      </c>
      <c r="H358" t="s">
        <v>156</v>
      </c>
      <c r="I358" t="s">
        <v>164</v>
      </c>
    </row>
    <row r="359" spans="1:9" x14ac:dyDescent="0.2">
      <c r="A359" t="s">
        <v>483</v>
      </c>
      <c r="B359" t="s">
        <v>69</v>
      </c>
      <c r="C359" t="s">
        <v>69</v>
      </c>
      <c r="D359">
        <v>1993</v>
      </c>
      <c r="E359" t="s">
        <v>472</v>
      </c>
      <c r="F359" t="s">
        <v>1229</v>
      </c>
      <c r="G359" t="s">
        <v>484</v>
      </c>
      <c r="H359" t="s">
        <v>462</v>
      </c>
      <c r="I359" t="s">
        <v>463</v>
      </c>
    </row>
    <row r="360" spans="1:9" x14ac:dyDescent="0.2">
      <c r="A360" t="s">
        <v>1104</v>
      </c>
      <c r="B360" t="s">
        <v>80</v>
      </c>
      <c r="C360" t="s">
        <v>17</v>
      </c>
      <c r="D360">
        <v>2007</v>
      </c>
      <c r="E360" t="s">
        <v>1105</v>
      </c>
      <c r="F360" t="s">
        <v>1252</v>
      </c>
      <c r="G360" t="s">
        <v>723</v>
      </c>
      <c r="H360" t="s">
        <v>1103</v>
      </c>
      <c r="I360" t="s">
        <v>452</v>
      </c>
    </row>
    <row r="361" spans="1:9" x14ac:dyDescent="0.2">
      <c r="A361" t="s">
        <v>732</v>
      </c>
      <c r="B361" t="s">
        <v>62</v>
      </c>
      <c r="C361" t="s">
        <v>62</v>
      </c>
      <c r="D361">
        <v>1992</v>
      </c>
      <c r="E361" t="s">
        <v>654</v>
      </c>
      <c r="F361" t="s">
        <v>655</v>
      </c>
      <c r="G361" t="s">
        <v>54</v>
      </c>
      <c r="H361" t="s">
        <v>639</v>
      </c>
      <c r="I361" t="s">
        <v>8</v>
      </c>
    </row>
    <row r="362" spans="1:9" x14ac:dyDescent="0.2">
      <c r="A362" t="s">
        <v>674</v>
      </c>
      <c r="B362" t="s">
        <v>77</v>
      </c>
      <c r="C362" t="s">
        <v>17</v>
      </c>
      <c r="D362">
        <v>2007</v>
      </c>
      <c r="E362" t="s">
        <v>641</v>
      </c>
      <c r="F362" t="s">
        <v>655</v>
      </c>
      <c r="G362" t="s">
        <v>369</v>
      </c>
      <c r="H362" t="s">
        <v>639</v>
      </c>
      <c r="I362" t="s">
        <v>8</v>
      </c>
    </row>
    <row r="363" spans="1:9" x14ac:dyDescent="0.2">
      <c r="A363" t="s">
        <v>826</v>
      </c>
      <c r="B363" t="s">
        <v>4</v>
      </c>
      <c r="C363" t="s">
        <v>4</v>
      </c>
      <c r="D363">
        <v>1998</v>
      </c>
      <c r="E363" t="s">
        <v>641</v>
      </c>
      <c r="F363" t="s">
        <v>827</v>
      </c>
      <c r="G363" t="s">
        <v>105</v>
      </c>
      <c r="H363" t="s">
        <v>639</v>
      </c>
      <c r="I363" t="s">
        <v>8</v>
      </c>
    </row>
    <row r="364" spans="1:9" x14ac:dyDescent="0.2">
      <c r="A364" t="s">
        <v>1161</v>
      </c>
      <c r="B364" t="s">
        <v>62</v>
      </c>
      <c r="C364" t="s">
        <v>62</v>
      </c>
      <c r="D364">
        <v>1994</v>
      </c>
      <c r="E364" t="s">
        <v>1162</v>
      </c>
      <c r="F364" t="s">
        <v>1163</v>
      </c>
      <c r="G364" t="s">
        <v>454</v>
      </c>
      <c r="H364" t="s">
        <v>1158</v>
      </c>
      <c r="I364" t="s">
        <v>463</v>
      </c>
    </row>
    <row r="365" spans="1:9" x14ac:dyDescent="0.2">
      <c r="A365" t="s">
        <v>1161</v>
      </c>
      <c r="B365" t="s">
        <v>304</v>
      </c>
      <c r="C365" t="s">
        <v>304</v>
      </c>
      <c r="D365">
        <v>1999</v>
      </c>
      <c r="E365" t="s">
        <v>1162</v>
      </c>
      <c r="F365" t="s">
        <v>1163</v>
      </c>
      <c r="G365" t="s">
        <v>1257</v>
      </c>
      <c r="H365" t="s">
        <v>1158</v>
      </c>
      <c r="I365" t="s">
        <v>463</v>
      </c>
    </row>
    <row r="366" spans="1:9" x14ac:dyDescent="0.2">
      <c r="A366" t="s">
        <v>577</v>
      </c>
      <c r="B366" t="s">
        <v>62</v>
      </c>
      <c r="C366" t="s">
        <v>62</v>
      </c>
      <c r="D366">
        <v>1997</v>
      </c>
      <c r="E366" t="s">
        <v>513</v>
      </c>
      <c r="F366" t="s">
        <v>514</v>
      </c>
      <c r="G366" t="s">
        <v>545</v>
      </c>
      <c r="H366" t="s">
        <v>516</v>
      </c>
      <c r="I366" t="s">
        <v>38</v>
      </c>
    </row>
    <row r="367" spans="1:9" x14ac:dyDescent="0.2">
      <c r="A367" t="s">
        <v>443</v>
      </c>
      <c r="B367" t="s">
        <v>4</v>
      </c>
      <c r="C367" t="s">
        <v>4</v>
      </c>
      <c r="D367">
        <v>2000</v>
      </c>
      <c r="E367" t="s">
        <v>294</v>
      </c>
      <c r="F367" t="s">
        <v>1223</v>
      </c>
      <c r="G367" t="s">
        <v>444</v>
      </c>
      <c r="H367" t="s">
        <v>156</v>
      </c>
      <c r="I367" t="s">
        <v>164</v>
      </c>
    </row>
    <row r="368" spans="1:9" x14ac:dyDescent="0.2">
      <c r="A368" t="s">
        <v>978</v>
      </c>
      <c r="B368" t="s">
        <v>4</v>
      </c>
      <c r="C368" t="s">
        <v>4</v>
      </c>
      <c r="D368">
        <v>1994</v>
      </c>
      <c r="E368" t="s">
        <v>954</v>
      </c>
      <c r="F368" t="s">
        <v>979</v>
      </c>
      <c r="G368" t="s">
        <v>804</v>
      </c>
      <c r="H368" t="s">
        <v>938</v>
      </c>
      <c r="I368" t="s">
        <v>463</v>
      </c>
    </row>
    <row r="369" spans="1:9" x14ac:dyDescent="0.2">
      <c r="A369" t="s">
        <v>705</v>
      </c>
      <c r="B369" t="s">
        <v>94</v>
      </c>
      <c r="C369" t="s">
        <v>94</v>
      </c>
      <c r="D369">
        <v>1994</v>
      </c>
      <c r="E369" t="s">
        <v>641</v>
      </c>
      <c r="F369" t="s">
        <v>706</v>
      </c>
      <c r="G369" t="s">
        <v>696</v>
      </c>
      <c r="H369" t="s">
        <v>639</v>
      </c>
      <c r="I369" t="s">
        <v>8</v>
      </c>
    </row>
    <row r="370" spans="1:9" x14ac:dyDescent="0.2">
      <c r="A370" t="s">
        <v>33</v>
      </c>
      <c r="B370" t="s">
        <v>34</v>
      </c>
      <c r="C370" t="s">
        <v>34</v>
      </c>
      <c r="D370">
        <v>1994</v>
      </c>
      <c r="E370" t="s">
        <v>35</v>
      </c>
      <c r="F370" t="s">
        <v>36</v>
      </c>
      <c r="G370" t="s">
        <v>37</v>
      </c>
      <c r="H370" t="s">
        <v>7</v>
      </c>
      <c r="I370" t="s">
        <v>38</v>
      </c>
    </row>
    <row r="371" spans="1:9" x14ac:dyDescent="0.2">
      <c r="A371" t="s">
        <v>963</v>
      </c>
      <c r="B371" t="s">
        <v>4</v>
      </c>
      <c r="C371" t="s">
        <v>4</v>
      </c>
      <c r="D371">
        <v>2010</v>
      </c>
      <c r="E371" t="s">
        <v>954</v>
      </c>
      <c r="F371" t="s">
        <v>964</v>
      </c>
      <c r="G371" t="s">
        <v>229</v>
      </c>
      <c r="H371" t="s">
        <v>938</v>
      </c>
      <c r="I371" t="s">
        <v>463</v>
      </c>
    </row>
    <row r="372" spans="1:9" x14ac:dyDescent="0.2">
      <c r="A372" t="s">
        <v>426</v>
      </c>
      <c r="B372" t="s">
        <v>4</v>
      </c>
      <c r="C372" t="s">
        <v>4</v>
      </c>
      <c r="D372">
        <v>1999</v>
      </c>
      <c r="E372" t="s">
        <v>192</v>
      </c>
      <c r="F372" t="s">
        <v>427</v>
      </c>
      <c r="G372" t="s">
        <v>428</v>
      </c>
      <c r="H372" t="s">
        <v>156</v>
      </c>
      <c r="I372" t="s">
        <v>195</v>
      </c>
    </row>
    <row r="373" spans="1:9" x14ac:dyDescent="0.2">
      <c r="A373" t="s">
        <v>792</v>
      </c>
      <c r="B373" t="s">
        <v>62</v>
      </c>
      <c r="C373" t="s">
        <v>62</v>
      </c>
      <c r="D373">
        <v>1999</v>
      </c>
      <c r="E373" t="s">
        <v>637</v>
      </c>
      <c r="F373" t="s">
        <v>702</v>
      </c>
      <c r="G373" t="s">
        <v>46</v>
      </c>
      <c r="H373" t="s">
        <v>639</v>
      </c>
      <c r="I373" t="s">
        <v>463</v>
      </c>
    </row>
    <row r="374" spans="1:9" x14ac:dyDescent="0.2">
      <c r="A374" t="s">
        <v>501</v>
      </c>
      <c r="B374" t="s">
        <v>496</v>
      </c>
      <c r="C374" t="s">
        <v>496</v>
      </c>
      <c r="D374">
        <v>2001</v>
      </c>
      <c r="E374" t="s">
        <v>460</v>
      </c>
      <c r="F374" t="s">
        <v>1229</v>
      </c>
      <c r="G374" t="s">
        <v>502</v>
      </c>
      <c r="H374" t="s">
        <v>462</v>
      </c>
      <c r="I374" t="s">
        <v>463</v>
      </c>
    </row>
    <row r="375" spans="1:9" x14ac:dyDescent="0.2">
      <c r="A375" t="s">
        <v>257</v>
      </c>
      <c r="B375" t="s">
        <v>62</v>
      </c>
      <c r="C375" t="s">
        <v>62</v>
      </c>
      <c r="D375">
        <v>2000</v>
      </c>
      <c r="E375" t="s">
        <v>258</v>
      </c>
      <c r="F375" t="s">
        <v>1225</v>
      </c>
      <c r="G375" t="s">
        <v>259</v>
      </c>
      <c r="H375" t="s">
        <v>156</v>
      </c>
      <c r="I375" t="s">
        <v>8</v>
      </c>
    </row>
    <row r="376" spans="1:9" x14ac:dyDescent="0.2">
      <c r="A376" t="s">
        <v>531</v>
      </c>
      <c r="B376" t="s">
        <v>532</v>
      </c>
      <c r="C376" t="s">
        <v>512</v>
      </c>
      <c r="D376" s="3" t="s">
        <v>1222</v>
      </c>
      <c r="E376" t="s">
        <v>513</v>
      </c>
      <c r="F376" t="s">
        <v>533</v>
      </c>
      <c r="G376" t="s">
        <v>534</v>
      </c>
      <c r="H376" t="s">
        <v>516</v>
      </c>
      <c r="I376" t="s">
        <v>38</v>
      </c>
    </row>
    <row r="377" spans="1:9" x14ac:dyDescent="0.2">
      <c r="A377" t="s">
        <v>365</v>
      </c>
      <c r="B377" t="s">
        <v>4</v>
      </c>
      <c r="C377" t="s">
        <v>4</v>
      </c>
      <c r="D377">
        <v>2002</v>
      </c>
      <c r="E377" t="s">
        <v>220</v>
      </c>
      <c r="F377" t="s">
        <v>310</v>
      </c>
      <c r="G377" t="s">
        <v>366</v>
      </c>
      <c r="H377" t="s">
        <v>156</v>
      </c>
      <c r="I377" t="s">
        <v>38</v>
      </c>
    </row>
    <row r="378" spans="1:9" x14ac:dyDescent="0.2">
      <c r="A378" t="s">
        <v>245</v>
      </c>
      <c r="B378" t="s">
        <v>89</v>
      </c>
      <c r="C378" t="s">
        <v>89</v>
      </c>
      <c r="D378">
        <v>2002</v>
      </c>
      <c r="E378" t="s">
        <v>211</v>
      </c>
      <c r="F378" t="s">
        <v>246</v>
      </c>
      <c r="G378" t="s">
        <v>1257</v>
      </c>
      <c r="H378" t="s">
        <v>156</v>
      </c>
      <c r="I378" t="s">
        <v>38</v>
      </c>
    </row>
    <row r="379" spans="1:9" x14ac:dyDescent="0.2">
      <c r="A379" t="s">
        <v>912</v>
      </c>
      <c r="B379" t="s">
        <v>4</v>
      </c>
      <c r="C379" t="s">
        <v>4</v>
      </c>
      <c r="D379">
        <v>1996</v>
      </c>
      <c r="E379" t="s">
        <v>909</v>
      </c>
      <c r="F379" t="s">
        <v>906</v>
      </c>
      <c r="G379" t="s">
        <v>41</v>
      </c>
      <c r="H379" t="s">
        <v>907</v>
      </c>
      <c r="I379" t="s">
        <v>911</v>
      </c>
    </row>
    <row r="380" spans="1:9" x14ac:dyDescent="0.2">
      <c r="A380" t="s">
        <v>314</v>
      </c>
      <c r="B380" t="s">
        <v>176</v>
      </c>
      <c r="C380" t="s">
        <v>176</v>
      </c>
      <c r="D380">
        <v>1998</v>
      </c>
      <c r="E380" t="s">
        <v>315</v>
      </c>
      <c r="F380" t="s">
        <v>316</v>
      </c>
      <c r="G380" t="s">
        <v>237</v>
      </c>
      <c r="H380" t="s">
        <v>156</v>
      </c>
      <c r="I380" t="s">
        <v>317</v>
      </c>
    </row>
    <row r="381" spans="1:9" x14ac:dyDescent="0.2">
      <c r="A381" t="s">
        <v>1029</v>
      </c>
      <c r="B381" t="s">
        <v>4</v>
      </c>
      <c r="C381" t="s">
        <v>4</v>
      </c>
      <c r="D381">
        <v>2006</v>
      </c>
      <c r="E381" t="s">
        <v>1023</v>
      </c>
      <c r="F381" t="s">
        <v>1030</v>
      </c>
      <c r="G381" t="s">
        <v>1031</v>
      </c>
      <c r="H381" t="s">
        <v>1008</v>
      </c>
      <c r="I381" t="s">
        <v>8</v>
      </c>
    </row>
    <row r="382" spans="1:9" x14ac:dyDescent="0.2">
      <c r="A382" t="s">
        <v>118</v>
      </c>
      <c r="B382" t="s">
        <v>4</v>
      </c>
      <c r="C382" t="s">
        <v>4</v>
      </c>
      <c r="D382">
        <v>2009</v>
      </c>
      <c r="E382" t="s">
        <v>5</v>
      </c>
      <c r="F382" t="s">
        <v>6</v>
      </c>
      <c r="G382" t="s">
        <v>6</v>
      </c>
      <c r="H382" t="s">
        <v>7</v>
      </c>
      <c r="I382" t="s">
        <v>8</v>
      </c>
    </row>
    <row r="383" spans="1:9" x14ac:dyDescent="0.2">
      <c r="A383" t="s">
        <v>743</v>
      </c>
      <c r="B383" t="s">
        <v>4</v>
      </c>
      <c r="C383" t="s">
        <v>4</v>
      </c>
      <c r="D383">
        <v>1998</v>
      </c>
      <c r="E383" t="s">
        <v>641</v>
      </c>
      <c r="F383" t="s">
        <v>683</v>
      </c>
      <c r="G383" t="s">
        <v>684</v>
      </c>
      <c r="H383" t="s">
        <v>639</v>
      </c>
      <c r="I383" t="s">
        <v>8</v>
      </c>
    </row>
    <row r="384" spans="1:9" x14ac:dyDescent="0.2">
      <c r="A384" t="s">
        <v>299</v>
      </c>
      <c r="B384" t="s">
        <v>4</v>
      </c>
      <c r="C384" t="s">
        <v>4</v>
      </c>
      <c r="D384">
        <v>2008</v>
      </c>
      <c r="E384" t="s">
        <v>172</v>
      </c>
      <c r="F384" t="s">
        <v>291</v>
      </c>
      <c r="G384" t="s">
        <v>292</v>
      </c>
      <c r="H384" t="s">
        <v>156</v>
      </c>
      <c r="I384" t="s">
        <v>174</v>
      </c>
    </row>
    <row r="385" spans="1:9" x14ac:dyDescent="0.2">
      <c r="A385" t="s">
        <v>299</v>
      </c>
      <c r="B385" t="s">
        <v>4</v>
      </c>
      <c r="C385" t="s">
        <v>4</v>
      </c>
      <c r="D385">
        <v>2009</v>
      </c>
      <c r="E385" t="s">
        <v>172</v>
      </c>
      <c r="F385" t="s">
        <v>291</v>
      </c>
      <c r="G385" t="s">
        <v>292</v>
      </c>
      <c r="H385" t="s">
        <v>156</v>
      </c>
      <c r="I385" t="s">
        <v>174</v>
      </c>
    </row>
    <row r="386" spans="1:9" x14ac:dyDescent="0.2">
      <c r="A386" t="s">
        <v>384</v>
      </c>
      <c r="B386" t="s">
        <v>280</v>
      </c>
      <c r="C386" t="s">
        <v>280</v>
      </c>
      <c r="D386">
        <v>2002</v>
      </c>
      <c r="E386" t="s">
        <v>172</v>
      </c>
      <c r="F386" t="s">
        <v>385</v>
      </c>
      <c r="G386" t="s">
        <v>386</v>
      </c>
      <c r="H386" t="s">
        <v>156</v>
      </c>
      <c r="I386" t="s">
        <v>174</v>
      </c>
    </row>
    <row r="387" spans="1:9" x14ac:dyDescent="0.2">
      <c r="A387" t="s">
        <v>384</v>
      </c>
      <c r="B387" t="s">
        <v>280</v>
      </c>
      <c r="C387" t="s">
        <v>280</v>
      </c>
      <c r="D387">
        <v>2009</v>
      </c>
      <c r="E387" t="s">
        <v>172</v>
      </c>
      <c r="F387" t="s">
        <v>385</v>
      </c>
      <c r="G387" t="s">
        <v>386</v>
      </c>
      <c r="H387" t="s">
        <v>156</v>
      </c>
      <c r="I387" t="s">
        <v>174</v>
      </c>
    </row>
    <row r="388" spans="1:9" x14ac:dyDescent="0.2">
      <c r="A388" t="s">
        <v>485</v>
      </c>
      <c r="B388" t="s">
        <v>4</v>
      </c>
      <c r="C388" t="s">
        <v>4</v>
      </c>
      <c r="D388">
        <v>1996</v>
      </c>
      <c r="E388" t="s">
        <v>460</v>
      </c>
      <c r="F388" t="s">
        <v>1229</v>
      </c>
      <c r="G388" t="s">
        <v>486</v>
      </c>
      <c r="H388" t="s">
        <v>462</v>
      </c>
      <c r="I388" t="s">
        <v>463</v>
      </c>
    </row>
    <row r="389" spans="1:9" x14ac:dyDescent="0.2">
      <c r="A389" t="s">
        <v>485</v>
      </c>
      <c r="B389" t="s">
        <v>4</v>
      </c>
      <c r="C389" t="s">
        <v>4</v>
      </c>
      <c r="D389">
        <v>2003</v>
      </c>
      <c r="E389" t="s">
        <v>460</v>
      </c>
      <c r="F389" t="s">
        <v>1229</v>
      </c>
      <c r="G389" t="s">
        <v>486</v>
      </c>
      <c r="H389" t="s">
        <v>462</v>
      </c>
      <c r="I389" t="s">
        <v>463</v>
      </c>
    </row>
    <row r="390" spans="1:9" x14ac:dyDescent="0.2">
      <c r="A390" t="s">
        <v>485</v>
      </c>
      <c r="B390" t="s">
        <v>489</v>
      </c>
      <c r="C390" t="s">
        <v>489</v>
      </c>
      <c r="D390">
        <v>2007</v>
      </c>
      <c r="E390" t="s">
        <v>460</v>
      </c>
      <c r="F390" t="s">
        <v>1229</v>
      </c>
      <c r="G390" t="s">
        <v>490</v>
      </c>
      <c r="H390" t="s">
        <v>462</v>
      </c>
      <c r="I390" t="s">
        <v>463</v>
      </c>
    </row>
    <row r="391" spans="1:9" x14ac:dyDescent="0.2">
      <c r="A391" t="s">
        <v>485</v>
      </c>
      <c r="B391" t="s">
        <v>4</v>
      </c>
      <c r="C391" t="s">
        <v>4</v>
      </c>
      <c r="D391">
        <v>2008</v>
      </c>
      <c r="E391" t="s">
        <v>460</v>
      </c>
      <c r="F391" t="s">
        <v>1229</v>
      </c>
      <c r="G391" t="s">
        <v>486</v>
      </c>
      <c r="H391" t="s">
        <v>462</v>
      </c>
      <c r="I391" t="s">
        <v>463</v>
      </c>
    </row>
    <row r="392" spans="1:9" x14ac:dyDescent="0.2">
      <c r="A392" t="s">
        <v>214</v>
      </c>
      <c r="B392" t="s">
        <v>215</v>
      </c>
      <c r="C392" t="s">
        <v>215</v>
      </c>
      <c r="D392">
        <v>2003</v>
      </c>
      <c r="E392" t="s">
        <v>192</v>
      </c>
      <c r="F392" t="s">
        <v>216</v>
      </c>
      <c r="G392" t="s">
        <v>217</v>
      </c>
      <c r="H392" t="s">
        <v>156</v>
      </c>
      <c r="I392" t="s">
        <v>195</v>
      </c>
    </row>
    <row r="393" spans="1:9" x14ac:dyDescent="0.2">
      <c r="A393" t="s">
        <v>479</v>
      </c>
      <c r="B393" t="s">
        <v>480</v>
      </c>
      <c r="C393" t="s">
        <v>480</v>
      </c>
      <c r="D393">
        <v>2006</v>
      </c>
      <c r="E393" t="s">
        <v>460</v>
      </c>
      <c r="F393" t="s">
        <v>1223</v>
      </c>
      <c r="G393" t="s">
        <v>481</v>
      </c>
      <c r="H393" t="s">
        <v>462</v>
      </c>
      <c r="I393" t="s">
        <v>463</v>
      </c>
    </row>
    <row r="394" spans="1:9" x14ac:dyDescent="0.2">
      <c r="A394" t="s">
        <v>479</v>
      </c>
      <c r="B394" t="s">
        <v>480</v>
      </c>
      <c r="C394" t="s">
        <v>480</v>
      </c>
      <c r="D394">
        <v>2010</v>
      </c>
      <c r="E394" t="s">
        <v>460</v>
      </c>
      <c r="F394" t="s">
        <v>1229</v>
      </c>
      <c r="G394" t="s">
        <v>481</v>
      </c>
      <c r="H394" t="s">
        <v>462</v>
      </c>
      <c r="I394" t="s">
        <v>463</v>
      </c>
    </row>
    <row r="395" spans="1:9" x14ac:dyDescent="0.2">
      <c r="A395" t="s">
        <v>742</v>
      </c>
      <c r="B395" t="s">
        <v>62</v>
      </c>
      <c r="C395" t="s">
        <v>62</v>
      </c>
      <c r="D395">
        <v>2000</v>
      </c>
      <c r="E395" t="s">
        <v>637</v>
      </c>
      <c r="F395" t="s">
        <v>1231</v>
      </c>
      <c r="G395" t="s">
        <v>46</v>
      </c>
      <c r="H395" t="s">
        <v>639</v>
      </c>
      <c r="I395" t="s">
        <v>463</v>
      </c>
    </row>
    <row r="396" spans="1:9" x14ac:dyDescent="0.2">
      <c r="A396" t="s">
        <v>724</v>
      </c>
      <c r="B396" t="s">
        <v>4</v>
      </c>
      <c r="C396" t="s">
        <v>4</v>
      </c>
      <c r="D396">
        <v>2008</v>
      </c>
      <c r="E396" t="s">
        <v>641</v>
      </c>
      <c r="F396" t="s">
        <v>683</v>
      </c>
      <c r="G396" t="s">
        <v>684</v>
      </c>
      <c r="H396" t="s">
        <v>639</v>
      </c>
      <c r="I396" t="s">
        <v>8</v>
      </c>
    </row>
    <row r="397" spans="1:9" x14ac:dyDescent="0.2">
      <c r="A397" t="s">
        <v>218</v>
      </c>
      <c r="B397" t="s">
        <v>215</v>
      </c>
      <c r="C397" t="s">
        <v>215</v>
      </c>
      <c r="D397">
        <v>1997</v>
      </c>
      <c r="E397" t="s">
        <v>220</v>
      </c>
      <c r="F397" t="s">
        <v>209</v>
      </c>
      <c r="G397" t="s">
        <v>64</v>
      </c>
      <c r="H397" t="s">
        <v>156</v>
      </c>
      <c r="I397" t="s">
        <v>38</v>
      </c>
    </row>
    <row r="398" spans="1:9" x14ac:dyDescent="0.2">
      <c r="A398" t="s">
        <v>218</v>
      </c>
      <c r="B398" t="s">
        <v>219</v>
      </c>
      <c r="C398" t="s">
        <v>219</v>
      </c>
      <c r="D398">
        <v>1998</v>
      </c>
      <c r="E398" t="s">
        <v>220</v>
      </c>
      <c r="F398" t="s">
        <v>209</v>
      </c>
      <c r="G398" t="s">
        <v>64</v>
      </c>
      <c r="H398" t="s">
        <v>156</v>
      </c>
      <c r="I398" t="s">
        <v>38</v>
      </c>
    </row>
    <row r="399" spans="1:9" x14ac:dyDescent="0.2">
      <c r="A399" t="s">
        <v>888</v>
      </c>
      <c r="B399" t="s">
        <v>4</v>
      </c>
      <c r="C399" t="s">
        <v>4</v>
      </c>
      <c r="D399">
        <v>2001</v>
      </c>
      <c r="E399" t="s">
        <v>889</v>
      </c>
      <c r="F399" t="s">
        <v>890</v>
      </c>
      <c r="G399" t="s">
        <v>22</v>
      </c>
      <c r="H399" t="s">
        <v>891</v>
      </c>
      <c r="I399" t="s">
        <v>892</v>
      </c>
    </row>
    <row r="400" spans="1:9" x14ac:dyDescent="0.2">
      <c r="A400" t="s">
        <v>888</v>
      </c>
      <c r="B400" t="s">
        <v>4</v>
      </c>
      <c r="C400" t="s">
        <v>4</v>
      </c>
      <c r="D400">
        <v>2005</v>
      </c>
      <c r="E400" t="s">
        <v>889</v>
      </c>
      <c r="F400" t="s">
        <v>890</v>
      </c>
      <c r="G400" t="s">
        <v>22</v>
      </c>
      <c r="H400" t="s">
        <v>891</v>
      </c>
      <c r="I400" t="s">
        <v>892</v>
      </c>
    </row>
    <row r="401" spans="1:9" x14ac:dyDescent="0.2">
      <c r="A401" t="s">
        <v>888</v>
      </c>
      <c r="B401" t="s">
        <v>4</v>
      </c>
      <c r="C401" t="s">
        <v>4</v>
      </c>
      <c r="D401">
        <v>2010</v>
      </c>
      <c r="E401" t="s">
        <v>889</v>
      </c>
      <c r="F401" t="s">
        <v>890</v>
      </c>
      <c r="G401" t="s">
        <v>22</v>
      </c>
      <c r="H401" t="s">
        <v>891</v>
      </c>
      <c r="I401" t="s">
        <v>892</v>
      </c>
    </row>
    <row r="402" spans="1:9" x14ac:dyDescent="0.2">
      <c r="A402" t="s">
        <v>1143</v>
      </c>
      <c r="B402" t="s">
        <v>62</v>
      </c>
      <c r="C402" t="s">
        <v>62</v>
      </c>
      <c r="D402">
        <v>1992</v>
      </c>
      <c r="E402" t="s">
        <v>1138</v>
      </c>
      <c r="F402" t="s">
        <v>1141</v>
      </c>
      <c r="G402" t="s">
        <v>1134</v>
      </c>
      <c r="H402" t="s">
        <v>1135</v>
      </c>
      <c r="I402" t="s">
        <v>38</v>
      </c>
    </row>
    <row r="403" spans="1:9" x14ac:dyDescent="0.2">
      <c r="A403" t="s">
        <v>354</v>
      </c>
      <c r="B403" t="s">
        <v>261</v>
      </c>
      <c r="C403" t="s">
        <v>261</v>
      </c>
      <c r="D403">
        <v>2009</v>
      </c>
      <c r="E403" t="s">
        <v>161</v>
      </c>
      <c r="F403" t="s">
        <v>346</v>
      </c>
      <c r="G403" t="s">
        <v>207</v>
      </c>
      <c r="H403" t="s">
        <v>156</v>
      </c>
      <c r="I403" t="s">
        <v>164</v>
      </c>
    </row>
    <row r="404" spans="1:9" x14ac:dyDescent="0.2">
      <c r="A404" t="s">
        <v>1101</v>
      </c>
      <c r="B404" t="s">
        <v>62</v>
      </c>
      <c r="C404" t="s">
        <v>62</v>
      </c>
      <c r="D404">
        <v>1997</v>
      </c>
      <c r="E404" t="s">
        <v>1102</v>
      </c>
      <c r="F404" t="s">
        <v>1251</v>
      </c>
      <c r="G404" t="s">
        <v>259</v>
      </c>
      <c r="H404" t="s">
        <v>1103</v>
      </c>
      <c r="I404" t="s">
        <v>452</v>
      </c>
    </row>
    <row r="405" spans="1:9" x14ac:dyDescent="0.2">
      <c r="A405" t="s">
        <v>1189</v>
      </c>
      <c r="B405" t="s">
        <v>231</v>
      </c>
      <c r="C405" t="s">
        <v>231</v>
      </c>
      <c r="D405">
        <v>2007</v>
      </c>
      <c r="E405" t="s">
        <v>1180</v>
      </c>
      <c r="F405" t="s">
        <v>1175</v>
      </c>
      <c r="G405" t="s">
        <v>353</v>
      </c>
      <c r="H405" t="s">
        <v>1158</v>
      </c>
      <c r="I405" t="s">
        <v>463</v>
      </c>
    </row>
    <row r="406" spans="1:9" x14ac:dyDescent="0.2">
      <c r="A406" t="s">
        <v>546</v>
      </c>
      <c r="B406" t="s">
        <v>80</v>
      </c>
      <c r="C406" t="s">
        <v>17</v>
      </c>
      <c r="D406">
        <v>2003</v>
      </c>
      <c r="E406" t="s">
        <v>522</v>
      </c>
      <c r="F406" t="s">
        <v>547</v>
      </c>
      <c r="G406" t="s">
        <v>548</v>
      </c>
      <c r="H406" t="s">
        <v>516</v>
      </c>
      <c r="I406" t="s">
        <v>524</v>
      </c>
    </row>
    <row r="407" spans="1:9" x14ac:dyDescent="0.2">
      <c r="A407" t="s">
        <v>948</v>
      </c>
      <c r="B407" t="s">
        <v>270</v>
      </c>
      <c r="C407" t="s">
        <v>62</v>
      </c>
      <c r="D407">
        <v>1991</v>
      </c>
      <c r="E407" t="s">
        <v>945</v>
      </c>
      <c r="F407" t="s">
        <v>949</v>
      </c>
      <c r="G407" t="s">
        <v>967</v>
      </c>
      <c r="H407" t="s">
        <v>938</v>
      </c>
      <c r="I407" t="s">
        <v>463</v>
      </c>
    </row>
    <row r="408" spans="1:9" x14ac:dyDescent="0.2">
      <c r="A408" t="s">
        <v>948</v>
      </c>
      <c r="B408" t="s">
        <v>219</v>
      </c>
      <c r="C408" t="s">
        <v>219</v>
      </c>
      <c r="D408">
        <v>2002</v>
      </c>
      <c r="E408" t="s">
        <v>945</v>
      </c>
      <c r="F408" t="s">
        <v>949</v>
      </c>
      <c r="G408" t="s">
        <v>213</v>
      </c>
      <c r="H408" t="s">
        <v>938</v>
      </c>
      <c r="I408" t="s">
        <v>463</v>
      </c>
    </row>
    <row r="409" spans="1:9" x14ac:dyDescent="0.2">
      <c r="A409" t="s">
        <v>616</v>
      </c>
      <c r="B409" t="s">
        <v>62</v>
      </c>
      <c r="C409" t="s">
        <v>62</v>
      </c>
      <c r="D409">
        <v>2002</v>
      </c>
      <c r="E409" t="s">
        <v>513</v>
      </c>
      <c r="F409" t="s">
        <v>617</v>
      </c>
      <c r="G409" t="s">
        <v>369</v>
      </c>
      <c r="H409" t="s">
        <v>516</v>
      </c>
      <c r="I409" t="s">
        <v>38</v>
      </c>
    </row>
    <row r="410" spans="1:9" x14ac:dyDescent="0.2">
      <c r="A410" t="s">
        <v>555</v>
      </c>
      <c r="B410" t="s">
        <v>231</v>
      </c>
      <c r="C410" t="s">
        <v>231</v>
      </c>
      <c r="D410">
        <v>2003</v>
      </c>
      <c r="E410" t="s">
        <v>518</v>
      </c>
      <c r="F410" t="s">
        <v>556</v>
      </c>
      <c r="G410" t="s">
        <v>557</v>
      </c>
      <c r="H410" t="s">
        <v>516</v>
      </c>
      <c r="I410" t="s">
        <v>520</v>
      </c>
    </row>
    <row r="411" spans="1:9" x14ac:dyDescent="0.2">
      <c r="A411" t="s">
        <v>350</v>
      </c>
      <c r="B411" t="s">
        <v>215</v>
      </c>
      <c r="C411" t="s">
        <v>215</v>
      </c>
      <c r="D411">
        <v>2000</v>
      </c>
      <c r="E411" t="s">
        <v>220</v>
      </c>
      <c r="F411" t="s">
        <v>209</v>
      </c>
      <c r="G411" t="s">
        <v>64</v>
      </c>
      <c r="H411" t="s">
        <v>156</v>
      </c>
      <c r="I411" t="s">
        <v>38</v>
      </c>
    </row>
    <row r="412" spans="1:9" x14ac:dyDescent="0.2">
      <c r="A412" t="s">
        <v>99</v>
      </c>
      <c r="B412" t="s">
        <v>30</v>
      </c>
      <c r="C412" t="s">
        <v>30</v>
      </c>
      <c r="D412">
        <v>2007</v>
      </c>
      <c r="E412" t="s">
        <v>70</v>
      </c>
      <c r="F412" t="s">
        <v>100</v>
      </c>
      <c r="G412" t="s">
        <v>101</v>
      </c>
      <c r="H412" t="s">
        <v>7</v>
      </c>
      <c r="I412" t="s">
        <v>73</v>
      </c>
    </row>
    <row r="413" spans="1:9" x14ac:dyDescent="0.2">
      <c r="A413" t="s">
        <v>139</v>
      </c>
      <c r="B413" t="s">
        <v>30</v>
      </c>
      <c r="C413" t="s">
        <v>30</v>
      </c>
      <c r="D413">
        <v>2004</v>
      </c>
      <c r="E413" t="s">
        <v>5</v>
      </c>
      <c r="F413" t="s">
        <v>140</v>
      </c>
      <c r="G413" t="s">
        <v>141</v>
      </c>
      <c r="H413" t="s">
        <v>7</v>
      </c>
      <c r="I413" t="s">
        <v>8</v>
      </c>
    </row>
    <row r="414" spans="1:9" x14ac:dyDescent="0.2">
      <c r="A414" t="s">
        <v>326</v>
      </c>
      <c r="B414" t="s">
        <v>4</v>
      </c>
      <c r="C414" t="s">
        <v>4</v>
      </c>
      <c r="D414">
        <v>2006</v>
      </c>
      <c r="E414" t="s">
        <v>167</v>
      </c>
      <c r="F414" t="s">
        <v>327</v>
      </c>
      <c r="G414" t="s">
        <v>328</v>
      </c>
      <c r="H414" t="s">
        <v>156</v>
      </c>
      <c r="I414" t="s">
        <v>170</v>
      </c>
    </row>
    <row r="415" spans="1:9" x14ac:dyDescent="0.2">
      <c r="A415" t="s">
        <v>278</v>
      </c>
      <c r="B415" t="s">
        <v>181</v>
      </c>
      <c r="C415" t="s">
        <v>181</v>
      </c>
      <c r="D415">
        <v>2009</v>
      </c>
      <c r="E415" t="s">
        <v>153</v>
      </c>
      <c r="F415" t="s">
        <v>197</v>
      </c>
      <c r="G415" t="s">
        <v>198</v>
      </c>
      <c r="H415" t="s">
        <v>156</v>
      </c>
      <c r="I415" t="s">
        <v>8</v>
      </c>
    </row>
    <row r="416" spans="1:9" x14ac:dyDescent="0.2">
      <c r="A416" t="s">
        <v>196</v>
      </c>
      <c r="B416" t="s">
        <v>181</v>
      </c>
      <c r="C416" t="s">
        <v>181</v>
      </c>
      <c r="D416">
        <v>2009</v>
      </c>
      <c r="E416" t="s">
        <v>153</v>
      </c>
      <c r="F416" t="s">
        <v>197</v>
      </c>
      <c r="G416" t="s">
        <v>198</v>
      </c>
      <c r="H416" t="s">
        <v>156</v>
      </c>
      <c r="I416" t="s">
        <v>8</v>
      </c>
    </row>
    <row r="417" spans="1:9" x14ac:dyDescent="0.2">
      <c r="A417" t="s">
        <v>882</v>
      </c>
      <c r="B417" t="s">
        <v>30</v>
      </c>
      <c r="C417" t="s">
        <v>30</v>
      </c>
      <c r="D417">
        <v>2008</v>
      </c>
      <c r="E417" t="s">
        <v>875</v>
      </c>
      <c r="F417" t="s">
        <v>883</v>
      </c>
      <c r="G417" t="s">
        <v>101</v>
      </c>
      <c r="H417" t="s">
        <v>877</v>
      </c>
      <c r="I417" t="s">
        <v>8</v>
      </c>
    </row>
    <row r="418" spans="1:9" x14ac:dyDescent="0.2">
      <c r="A418" t="s">
        <v>1043</v>
      </c>
      <c r="B418" t="s">
        <v>231</v>
      </c>
      <c r="C418" t="s">
        <v>231</v>
      </c>
      <c r="D418">
        <v>1996</v>
      </c>
      <c r="E418" t="s">
        <v>1015</v>
      </c>
      <c r="F418" t="s">
        <v>1016</v>
      </c>
      <c r="G418" t="s">
        <v>1012</v>
      </c>
      <c r="H418" t="s">
        <v>1008</v>
      </c>
      <c r="I418" t="s">
        <v>1018</v>
      </c>
    </row>
    <row r="419" spans="1:9" x14ac:dyDescent="0.2">
      <c r="A419" t="s">
        <v>605</v>
      </c>
      <c r="B419" t="s">
        <v>48</v>
      </c>
      <c r="C419" t="s">
        <v>48</v>
      </c>
      <c r="D419">
        <v>1996</v>
      </c>
      <c r="E419" t="s">
        <v>522</v>
      </c>
      <c r="F419" t="s">
        <v>600</v>
      </c>
      <c r="G419" t="s">
        <v>601</v>
      </c>
      <c r="H419" t="s">
        <v>516</v>
      </c>
      <c r="I419" t="s">
        <v>524</v>
      </c>
    </row>
    <row r="420" spans="1:9" x14ac:dyDescent="0.2">
      <c r="A420" t="s">
        <v>846</v>
      </c>
      <c r="B420" t="s">
        <v>4</v>
      </c>
      <c r="C420" t="s">
        <v>4</v>
      </c>
      <c r="D420">
        <v>2006</v>
      </c>
      <c r="E420" t="s">
        <v>844</v>
      </c>
      <c r="F420" t="s">
        <v>1223</v>
      </c>
      <c r="G420" t="s">
        <v>490</v>
      </c>
      <c r="H420" t="s">
        <v>836</v>
      </c>
      <c r="I420" t="s">
        <v>8</v>
      </c>
    </row>
    <row r="421" spans="1:9" x14ac:dyDescent="0.2">
      <c r="A421" t="s">
        <v>374</v>
      </c>
      <c r="B421" t="s">
        <v>151</v>
      </c>
      <c r="C421" t="s">
        <v>152</v>
      </c>
      <c r="D421">
        <v>2001</v>
      </c>
      <c r="E421" t="s">
        <v>153</v>
      </c>
      <c r="F421" t="s">
        <v>375</v>
      </c>
      <c r="G421" t="s">
        <v>155</v>
      </c>
      <c r="H421" t="s">
        <v>156</v>
      </c>
      <c r="I421" t="s">
        <v>8</v>
      </c>
    </row>
    <row r="422" spans="1:9" x14ac:dyDescent="0.2">
      <c r="A422" t="s">
        <v>1026</v>
      </c>
      <c r="B422" t="s">
        <v>297</v>
      </c>
      <c r="C422" t="s">
        <v>297</v>
      </c>
      <c r="D422">
        <v>2008</v>
      </c>
      <c r="E422" t="s">
        <v>1010</v>
      </c>
      <c r="F422" t="s">
        <v>1027</v>
      </c>
      <c r="G422" t="s">
        <v>1028</v>
      </c>
      <c r="H422" t="s">
        <v>1008</v>
      </c>
      <c r="I422" t="s">
        <v>1013</v>
      </c>
    </row>
    <row r="423" spans="1:9" x14ac:dyDescent="0.2">
      <c r="A423" t="s">
        <v>1117</v>
      </c>
      <c r="B423" t="s">
        <v>88</v>
      </c>
      <c r="C423" t="s">
        <v>89</v>
      </c>
      <c r="D423">
        <v>1998</v>
      </c>
      <c r="E423" t="s">
        <v>1108</v>
      </c>
      <c r="F423" t="s">
        <v>1118</v>
      </c>
      <c r="G423" t="s">
        <v>1119</v>
      </c>
      <c r="H423" t="s">
        <v>1103</v>
      </c>
      <c r="I423" t="s">
        <v>452</v>
      </c>
    </row>
    <row r="424" spans="1:9" x14ac:dyDescent="0.2">
      <c r="A424" t="s">
        <v>670</v>
      </c>
      <c r="B424" t="s">
        <v>272</v>
      </c>
      <c r="C424" t="s">
        <v>272</v>
      </c>
      <c r="D424">
        <v>2001</v>
      </c>
      <c r="E424" t="s">
        <v>637</v>
      </c>
      <c r="F424" t="s">
        <v>671</v>
      </c>
      <c r="G424" t="s">
        <v>672</v>
      </c>
      <c r="H424" t="s">
        <v>639</v>
      </c>
      <c r="I424" t="s">
        <v>463</v>
      </c>
    </row>
    <row r="425" spans="1:9" x14ac:dyDescent="0.2">
      <c r="A425" t="s">
        <v>753</v>
      </c>
      <c r="B425" t="s">
        <v>4</v>
      </c>
      <c r="C425" t="s">
        <v>4</v>
      </c>
      <c r="D425">
        <v>2001</v>
      </c>
      <c r="E425" t="s">
        <v>711</v>
      </c>
      <c r="F425" t="s">
        <v>644</v>
      </c>
      <c r="G425" t="s">
        <v>582</v>
      </c>
      <c r="H425" t="s">
        <v>639</v>
      </c>
      <c r="I425" t="s">
        <v>8</v>
      </c>
    </row>
    <row r="426" spans="1:9" x14ac:dyDescent="0.2">
      <c r="A426" t="s">
        <v>643</v>
      </c>
      <c r="B426" t="s">
        <v>4</v>
      </c>
      <c r="C426" t="s">
        <v>4</v>
      </c>
      <c r="D426">
        <v>2007</v>
      </c>
      <c r="E426" t="s">
        <v>641</v>
      </c>
      <c r="F426" t="s">
        <v>644</v>
      </c>
      <c r="G426" t="s">
        <v>582</v>
      </c>
      <c r="H426" t="s">
        <v>639</v>
      </c>
      <c r="I426" t="s">
        <v>8</v>
      </c>
    </row>
    <row r="427" spans="1:9" x14ac:dyDescent="0.2">
      <c r="A427" t="s">
        <v>820</v>
      </c>
      <c r="B427" t="s">
        <v>231</v>
      </c>
      <c r="C427" t="s">
        <v>231</v>
      </c>
      <c r="D427">
        <v>1993</v>
      </c>
      <c r="E427" t="s">
        <v>641</v>
      </c>
      <c r="F427" t="s">
        <v>699</v>
      </c>
      <c r="G427" t="s">
        <v>821</v>
      </c>
      <c r="H427" t="s">
        <v>639</v>
      </c>
      <c r="I427" t="s">
        <v>8</v>
      </c>
    </row>
    <row r="428" spans="1:9" x14ac:dyDescent="0.2">
      <c r="A428" t="s">
        <v>823</v>
      </c>
      <c r="B428" t="s">
        <v>62</v>
      </c>
      <c r="C428" t="s">
        <v>62</v>
      </c>
      <c r="D428">
        <v>1991</v>
      </c>
      <c r="E428" t="s">
        <v>654</v>
      </c>
      <c r="F428" t="s">
        <v>655</v>
      </c>
      <c r="G428" t="s">
        <v>399</v>
      </c>
      <c r="H428" t="s">
        <v>639</v>
      </c>
      <c r="I428" t="s">
        <v>8</v>
      </c>
    </row>
    <row r="429" spans="1:9" x14ac:dyDescent="0.2">
      <c r="A429" t="s">
        <v>712</v>
      </c>
      <c r="B429" t="s">
        <v>4</v>
      </c>
      <c r="C429" t="s">
        <v>4</v>
      </c>
      <c r="D429">
        <v>2005</v>
      </c>
      <c r="E429" t="s">
        <v>641</v>
      </c>
      <c r="F429" t="s">
        <v>652</v>
      </c>
      <c r="G429" t="s">
        <v>650</v>
      </c>
      <c r="H429" t="s">
        <v>639</v>
      </c>
      <c r="I429" t="s">
        <v>8</v>
      </c>
    </row>
    <row r="430" spans="1:9" x14ac:dyDescent="0.2">
      <c r="A430" t="s">
        <v>121</v>
      </c>
      <c r="B430" t="s">
        <v>4</v>
      </c>
      <c r="C430" t="s">
        <v>4</v>
      </c>
      <c r="D430">
        <v>1991</v>
      </c>
      <c r="E430" t="s">
        <v>122</v>
      </c>
      <c r="F430" t="s">
        <v>123</v>
      </c>
      <c r="G430" t="s">
        <v>124</v>
      </c>
      <c r="H430" t="s">
        <v>7</v>
      </c>
      <c r="I430" t="s">
        <v>125</v>
      </c>
    </row>
    <row r="431" spans="1:9" x14ac:dyDescent="0.2">
      <c r="A431" t="s">
        <v>721</v>
      </c>
      <c r="B431" t="s">
        <v>4</v>
      </c>
      <c r="C431" t="s">
        <v>4</v>
      </c>
      <c r="D431">
        <v>2006</v>
      </c>
      <c r="E431" t="s">
        <v>641</v>
      </c>
      <c r="F431" t="s">
        <v>652</v>
      </c>
      <c r="G431" t="s">
        <v>650</v>
      </c>
      <c r="H431" t="s">
        <v>639</v>
      </c>
      <c r="I431" t="s">
        <v>8</v>
      </c>
    </row>
    <row r="432" spans="1:9" x14ac:dyDescent="0.2">
      <c r="A432" t="s">
        <v>311</v>
      </c>
      <c r="B432" t="s">
        <v>312</v>
      </c>
      <c r="C432" t="s">
        <v>181</v>
      </c>
      <c r="D432">
        <v>1997</v>
      </c>
      <c r="E432" t="s">
        <v>211</v>
      </c>
      <c r="F432" t="s">
        <v>313</v>
      </c>
      <c r="G432" t="s">
        <v>259</v>
      </c>
      <c r="H432" t="s">
        <v>156</v>
      </c>
      <c r="I432" t="s">
        <v>38</v>
      </c>
    </row>
    <row r="433" spans="1:9" x14ac:dyDescent="0.2">
      <c r="A433" t="s">
        <v>730</v>
      </c>
      <c r="B433" t="s">
        <v>628</v>
      </c>
      <c r="C433" t="s">
        <v>628</v>
      </c>
      <c r="D433">
        <v>2006</v>
      </c>
      <c r="E433" t="s">
        <v>641</v>
      </c>
      <c r="F433" t="s">
        <v>680</v>
      </c>
      <c r="G433" t="s">
        <v>681</v>
      </c>
      <c r="H433" t="s">
        <v>639</v>
      </c>
      <c r="I433" t="s">
        <v>8</v>
      </c>
    </row>
    <row r="434" spans="1:9" x14ac:dyDescent="0.2">
      <c r="A434" t="s">
        <v>824</v>
      </c>
      <c r="B434" t="s">
        <v>628</v>
      </c>
      <c r="C434" t="s">
        <v>628</v>
      </c>
      <c r="D434">
        <v>2007</v>
      </c>
      <c r="E434" t="s">
        <v>641</v>
      </c>
      <c r="F434" t="s">
        <v>680</v>
      </c>
      <c r="G434" t="s">
        <v>723</v>
      </c>
      <c r="H434" t="s">
        <v>639</v>
      </c>
      <c r="I434" t="s">
        <v>8</v>
      </c>
    </row>
    <row r="435" spans="1:9" x14ac:dyDescent="0.2">
      <c r="A435" t="s">
        <v>760</v>
      </c>
      <c r="B435" t="s">
        <v>628</v>
      </c>
      <c r="C435" t="s">
        <v>628</v>
      </c>
      <c r="D435">
        <v>2008</v>
      </c>
      <c r="E435" t="s">
        <v>641</v>
      </c>
      <c r="F435" t="s">
        <v>680</v>
      </c>
      <c r="G435" t="s">
        <v>723</v>
      </c>
      <c r="H435" t="s">
        <v>639</v>
      </c>
      <c r="I435" t="s">
        <v>8</v>
      </c>
    </row>
    <row r="436" spans="1:9" x14ac:dyDescent="0.2">
      <c r="A436" t="s">
        <v>722</v>
      </c>
      <c r="B436" t="s">
        <v>628</v>
      </c>
      <c r="C436" t="s">
        <v>628</v>
      </c>
      <c r="D436">
        <v>2008</v>
      </c>
      <c r="E436" t="s">
        <v>641</v>
      </c>
      <c r="F436" t="s">
        <v>680</v>
      </c>
      <c r="G436" t="s">
        <v>723</v>
      </c>
      <c r="H436" t="s">
        <v>639</v>
      </c>
      <c r="I436" t="s">
        <v>8</v>
      </c>
    </row>
    <row r="437" spans="1:9" x14ac:dyDescent="0.2">
      <c r="A437" t="s">
        <v>679</v>
      </c>
      <c r="B437" t="s">
        <v>628</v>
      </c>
      <c r="C437" t="s">
        <v>628</v>
      </c>
      <c r="D437">
        <v>2006</v>
      </c>
      <c r="E437" t="s">
        <v>641</v>
      </c>
      <c r="F437" t="s">
        <v>680</v>
      </c>
      <c r="G437" t="s">
        <v>681</v>
      </c>
      <c r="H437" t="s">
        <v>639</v>
      </c>
      <c r="I437" t="s">
        <v>8</v>
      </c>
    </row>
    <row r="438" spans="1:9" x14ac:dyDescent="0.2">
      <c r="A438" t="s">
        <v>747</v>
      </c>
      <c r="B438" t="s">
        <v>628</v>
      </c>
      <c r="C438" t="s">
        <v>628</v>
      </c>
      <c r="D438">
        <v>2007</v>
      </c>
      <c r="E438" t="s">
        <v>641</v>
      </c>
      <c r="F438" t="s">
        <v>680</v>
      </c>
      <c r="G438" t="s">
        <v>723</v>
      </c>
      <c r="H438" t="s">
        <v>639</v>
      </c>
      <c r="I438" t="s">
        <v>8</v>
      </c>
    </row>
    <row r="439" spans="1:9" x14ac:dyDescent="0.2">
      <c r="A439" t="s">
        <v>622</v>
      </c>
      <c r="B439" t="s">
        <v>62</v>
      </c>
      <c r="C439" t="s">
        <v>62</v>
      </c>
      <c r="D439">
        <v>1999</v>
      </c>
      <c r="E439" t="s">
        <v>623</v>
      </c>
      <c r="F439" t="s">
        <v>624</v>
      </c>
      <c r="G439" t="s">
        <v>369</v>
      </c>
      <c r="H439" t="s">
        <v>516</v>
      </c>
      <c r="I439" t="s">
        <v>8</v>
      </c>
    </row>
    <row r="440" spans="1:9" x14ac:dyDescent="0.2">
      <c r="A440" t="s">
        <v>1149</v>
      </c>
      <c r="B440" t="s">
        <v>80</v>
      </c>
      <c r="C440" t="s">
        <v>17</v>
      </c>
      <c r="D440">
        <v>1997</v>
      </c>
      <c r="E440" t="s">
        <v>1145</v>
      </c>
      <c r="F440" t="s">
        <v>1150</v>
      </c>
      <c r="G440" t="s">
        <v>1147</v>
      </c>
      <c r="H440" t="s">
        <v>1148</v>
      </c>
      <c r="I440" t="s">
        <v>1093</v>
      </c>
    </row>
    <row r="441" spans="1:9" x14ac:dyDescent="0.2">
      <c r="A441" t="s">
        <v>587</v>
      </c>
      <c r="B441" t="s">
        <v>270</v>
      </c>
      <c r="C441" t="s">
        <v>62</v>
      </c>
      <c r="D441">
        <v>1991</v>
      </c>
      <c r="E441" t="s">
        <v>513</v>
      </c>
      <c r="F441" t="s">
        <v>544</v>
      </c>
      <c r="G441" t="s">
        <v>545</v>
      </c>
      <c r="H441" t="s">
        <v>516</v>
      </c>
      <c r="I441" t="s">
        <v>38</v>
      </c>
    </row>
    <row r="442" spans="1:9" x14ac:dyDescent="0.2">
      <c r="A442" t="s">
        <v>1151</v>
      </c>
      <c r="B442" t="s">
        <v>231</v>
      </c>
      <c r="C442" t="s">
        <v>231</v>
      </c>
      <c r="D442">
        <v>1994</v>
      </c>
      <c r="E442" t="s">
        <v>1145</v>
      </c>
      <c r="F442" t="s">
        <v>1152</v>
      </c>
      <c r="G442" t="s">
        <v>1147</v>
      </c>
      <c r="H442" t="s">
        <v>1148</v>
      </c>
      <c r="I442" t="s">
        <v>1093</v>
      </c>
    </row>
    <row r="443" spans="1:9" x14ac:dyDescent="0.2">
      <c r="A443" s="2" t="s">
        <v>929</v>
      </c>
      <c r="B443" t="s">
        <v>930</v>
      </c>
      <c r="C443" t="s">
        <v>930</v>
      </c>
      <c r="D443">
        <v>2000</v>
      </c>
      <c r="E443" t="s">
        <v>850</v>
      </c>
      <c r="F443" t="s">
        <v>931</v>
      </c>
      <c r="G443" t="s">
        <v>41</v>
      </c>
      <c r="H443" t="s">
        <v>907</v>
      </c>
      <c r="I443" t="s">
        <v>463</v>
      </c>
    </row>
    <row r="444" spans="1:9" x14ac:dyDescent="0.2">
      <c r="A444" t="s">
        <v>342</v>
      </c>
      <c r="B444" t="s">
        <v>4</v>
      </c>
      <c r="C444" t="s">
        <v>4</v>
      </c>
      <c r="D444">
        <v>2008</v>
      </c>
      <c r="E444" t="s">
        <v>220</v>
      </c>
      <c r="F444" t="s">
        <v>310</v>
      </c>
      <c r="G444" t="s">
        <v>46</v>
      </c>
      <c r="H444" t="s">
        <v>156</v>
      </c>
      <c r="I444" t="s">
        <v>38</v>
      </c>
    </row>
    <row r="445" spans="1:9" x14ac:dyDescent="0.2">
      <c r="A445" t="s">
        <v>750</v>
      </c>
      <c r="B445" t="s">
        <v>4</v>
      </c>
      <c r="C445" t="s">
        <v>4</v>
      </c>
      <c r="D445">
        <v>2004</v>
      </c>
      <c r="E445" t="s">
        <v>641</v>
      </c>
      <c r="F445" t="s">
        <v>683</v>
      </c>
      <c r="G445" t="s">
        <v>738</v>
      </c>
      <c r="H445" t="s">
        <v>639</v>
      </c>
      <c r="I445" t="s">
        <v>8</v>
      </c>
    </row>
    <row r="446" spans="1:9" x14ac:dyDescent="0.2">
      <c r="A446" t="s">
        <v>737</v>
      </c>
      <c r="B446" t="s">
        <v>4</v>
      </c>
      <c r="C446" t="s">
        <v>4</v>
      </c>
      <c r="D446">
        <v>2004</v>
      </c>
      <c r="E446" t="s">
        <v>641</v>
      </c>
      <c r="F446" t="s">
        <v>683</v>
      </c>
      <c r="G446" t="s">
        <v>738</v>
      </c>
      <c r="H446" t="s">
        <v>639</v>
      </c>
      <c r="I446" t="s">
        <v>8</v>
      </c>
    </row>
    <row r="447" spans="1:9" x14ac:dyDescent="0.2">
      <c r="A447" t="s">
        <v>779</v>
      </c>
      <c r="B447" t="s">
        <v>4</v>
      </c>
      <c r="C447" t="s">
        <v>4</v>
      </c>
      <c r="D447">
        <v>2004</v>
      </c>
      <c r="E447" t="s">
        <v>641</v>
      </c>
      <c r="F447" t="s">
        <v>683</v>
      </c>
      <c r="G447" t="s">
        <v>738</v>
      </c>
      <c r="H447" t="s">
        <v>639</v>
      </c>
      <c r="I447" t="s">
        <v>8</v>
      </c>
    </row>
    <row r="448" spans="1:9" x14ac:dyDescent="0.2">
      <c r="A448" t="s">
        <v>733</v>
      </c>
      <c r="B448" t="s">
        <v>4</v>
      </c>
      <c r="C448" t="s">
        <v>4</v>
      </c>
      <c r="D448">
        <v>1995</v>
      </c>
      <c r="E448" t="s">
        <v>641</v>
      </c>
      <c r="F448" t="s">
        <v>683</v>
      </c>
      <c r="G448" t="s">
        <v>686</v>
      </c>
      <c r="H448" t="s">
        <v>639</v>
      </c>
      <c r="I448" t="s">
        <v>8</v>
      </c>
    </row>
    <row r="449" spans="1:9" x14ac:dyDescent="0.2">
      <c r="A449" t="s">
        <v>766</v>
      </c>
      <c r="B449" t="s">
        <v>540</v>
      </c>
      <c r="C449" t="s">
        <v>540</v>
      </c>
      <c r="D449">
        <v>2009</v>
      </c>
      <c r="E449" t="s">
        <v>641</v>
      </c>
      <c r="F449" t="s">
        <v>683</v>
      </c>
      <c r="G449" t="s">
        <v>686</v>
      </c>
      <c r="H449" t="s">
        <v>639</v>
      </c>
      <c r="I449" t="s">
        <v>8</v>
      </c>
    </row>
    <row r="450" spans="1:9" x14ac:dyDescent="0.2">
      <c r="A450" t="s">
        <v>685</v>
      </c>
      <c r="B450" t="s">
        <v>4</v>
      </c>
      <c r="C450" t="s">
        <v>4</v>
      </c>
      <c r="D450">
        <v>1995</v>
      </c>
      <c r="E450" t="s">
        <v>641</v>
      </c>
      <c r="F450" t="s">
        <v>683</v>
      </c>
      <c r="G450" t="s">
        <v>686</v>
      </c>
      <c r="H450" t="s">
        <v>639</v>
      </c>
      <c r="I450" t="s">
        <v>8</v>
      </c>
    </row>
    <row r="451" spans="1:9" x14ac:dyDescent="0.2">
      <c r="A451" t="s">
        <v>307</v>
      </c>
      <c r="B451" t="s">
        <v>4</v>
      </c>
      <c r="C451" t="s">
        <v>4</v>
      </c>
      <c r="D451">
        <v>2006</v>
      </c>
      <c r="E451" t="s">
        <v>153</v>
      </c>
      <c r="F451" t="s">
        <v>204</v>
      </c>
      <c r="G451" t="s">
        <v>105</v>
      </c>
      <c r="H451" t="s">
        <v>156</v>
      </c>
      <c r="I451" t="s">
        <v>8</v>
      </c>
    </row>
    <row r="452" spans="1:9" x14ac:dyDescent="0.2">
      <c r="A452" t="s">
        <v>630</v>
      </c>
      <c r="B452" t="s">
        <v>48</v>
      </c>
      <c r="C452" t="s">
        <v>48</v>
      </c>
      <c r="D452">
        <v>1997</v>
      </c>
      <c r="E452" t="s">
        <v>522</v>
      </c>
      <c r="F452" t="s">
        <v>600</v>
      </c>
      <c r="G452" t="s">
        <v>601</v>
      </c>
      <c r="H452" t="s">
        <v>516</v>
      </c>
      <c r="I452" t="s">
        <v>524</v>
      </c>
    </row>
    <row r="453" spans="1:9" x14ac:dyDescent="0.2">
      <c r="A453" t="s">
        <v>157</v>
      </c>
      <c r="B453" t="s">
        <v>10</v>
      </c>
      <c r="C453" t="s">
        <v>11</v>
      </c>
      <c r="D453">
        <v>2005</v>
      </c>
      <c r="E453" t="s">
        <v>153</v>
      </c>
      <c r="F453" t="s">
        <v>158</v>
      </c>
      <c r="G453" t="s">
        <v>159</v>
      </c>
      <c r="H453" t="s">
        <v>156</v>
      </c>
      <c r="I453" t="s">
        <v>8</v>
      </c>
    </row>
    <row r="454" spans="1:9" x14ac:dyDescent="0.2">
      <c r="A454" t="s">
        <v>976</v>
      </c>
      <c r="B454" t="s">
        <v>89</v>
      </c>
      <c r="C454" t="s">
        <v>89</v>
      </c>
      <c r="D454">
        <v>1994</v>
      </c>
      <c r="E454" t="s">
        <v>945</v>
      </c>
      <c r="F454" t="s">
        <v>977</v>
      </c>
      <c r="G454" t="s">
        <v>1257</v>
      </c>
      <c r="H454" t="s">
        <v>938</v>
      </c>
      <c r="I454" t="s">
        <v>463</v>
      </c>
    </row>
    <row r="455" spans="1:9" x14ac:dyDescent="0.2">
      <c r="A455" t="s">
        <v>233</v>
      </c>
      <c r="B455" t="s">
        <v>4</v>
      </c>
      <c r="C455" t="s">
        <v>4</v>
      </c>
      <c r="D455">
        <v>2010</v>
      </c>
      <c r="E455" t="s">
        <v>153</v>
      </c>
      <c r="F455" t="s">
        <v>234</v>
      </c>
      <c r="G455" t="s">
        <v>105</v>
      </c>
      <c r="H455" t="s">
        <v>156</v>
      </c>
      <c r="I455" t="s">
        <v>8</v>
      </c>
    </row>
    <row r="456" spans="1:9" x14ac:dyDescent="0.2">
      <c r="A456" t="s">
        <v>794</v>
      </c>
      <c r="B456" t="s">
        <v>4</v>
      </c>
      <c r="C456" t="s">
        <v>4</v>
      </c>
      <c r="D456">
        <v>2009</v>
      </c>
      <c r="E456" t="s">
        <v>641</v>
      </c>
      <c r="F456" t="s">
        <v>795</v>
      </c>
      <c r="G456" t="s">
        <v>796</v>
      </c>
      <c r="H456" t="s">
        <v>639</v>
      </c>
      <c r="I456" t="s">
        <v>8</v>
      </c>
    </row>
    <row r="457" spans="1:9" x14ac:dyDescent="0.2">
      <c r="A457" t="s">
        <v>347</v>
      </c>
      <c r="B457" t="s">
        <v>215</v>
      </c>
      <c r="C457" t="s">
        <v>215</v>
      </c>
      <c r="D457">
        <v>1998</v>
      </c>
      <c r="E457" t="s">
        <v>220</v>
      </c>
      <c r="F457" t="s">
        <v>209</v>
      </c>
      <c r="G457" t="s">
        <v>64</v>
      </c>
      <c r="H457" t="s">
        <v>156</v>
      </c>
      <c r="I457" t="s">
        <v>38</v>
      </c>
    </row>
    <row r="458" spans="1:9" x14ac:dyDescent="0.2">
      <c r="A458" t="s">
        <v>347</v>
      </c>
      <c r="B458" t="s">
        <v>383</v>
      </c>
      <c r="C458" t="s">
        <v>219</v>
      </c>
      <c r="D458">
        <v>1999</v>
      </c>
      <c r="E458" t="s">
        <v>220</v>
      </c>
      <c r="F458" t="s">
        <v>209</v>
      </c>
      <c r="G458" t="s">
        <v>431</v>
      </c>
      <c r="H458" t="s">
        <v>156</v>
      </c>
      <c r="I458" t="s">
        <v>38</v>
      </c>
    </row>
    <row r="459" spans="1:9" x14ac:dyDescent="0.2">
      <c r="A459" t="s">
        <v>362</v>
      </c>
      <c r="B459" t="s">
        <v>176</v>
      </c>
      <c r="C459" t="s">
        <v>176</v>
      </c>
      <c r="D459">
        <v>2006</v>
      </c>
      <c r="E459" t="s">
        <v>167</v>
      </c>
      <c r="F459" t="s">
        <v>177</v>
      </c>
      <c r="G459" t="s">
        <v>178</v>
      </c>
      <c r="H459" t="s">
        <v>156</v>
      </c>
      <c r="I459" t="s">
        <v>170</v>
      </c>
    </row>
    <row r="460" spans="1:9" x14ac:dyDescent="0.2">
      <c r="A460" t="s">
        <v>362</v>
      </c>
      <c r="B460" t="s">
        <v>176</v>
      </c>
      <c r="C460" t="s">
        <v>176</v>
      </c>
      <c r="D460">
        <v>2008</v>
      </c>
      <c r="E460" t="s">
        <v>167</v>
      </c>
      <c r="F460" t="s">
        <v>177</v>
      </c>
      <c r="G460" t="s">
        <v>178</v>
      </c>
      <c r="H460" t="s">
        <v>156</v>
      </c>
      <c r="I460" t="s">
        <v>170</v>
      </c>
    </row>
    <row r="461" spans="1:9" x14ac:dyDescent="0.2">
      <c r="A461" t="s">
        <v>44</v>
      </c>
      <c r="B461" t="s">
        <v>62</v>
      </c>
      <c r="C461" t="s">
        <v>62</v>
      </c>
      <c r="D461">
        <v>1996</v>
      </c>
      <c r="E461" t="s">
        <v>35</v>
      </c>
      <c r="F461" t="s">
        <v>45</v>
      </c>
      <c r="G461" t="s">
        <v>46</v>
      </c>
      <c r="H461" t="s">
        <v>7</v>
      </c>
      <c r="I461" t="s">
        <v>38</v>
      </c>
    </row>
    <row r="462" spans="1:9" x14ac:dyDescent="0.2">
      <c r="A462" t="s">
        <v>44</v>
      </c>
      <c r="B462" t="s">
        <v>4</v>
      </c>
      <c r="C462" t="s">
        <v>4</v>
      </c>
      <c r="D462">
        <v>1997</v>
      </c>
      <c r="E462" t="s">
        <v>35</v>
      </c>
      <c r="F462" t="s">
        <v>45</v>
      </c>
      <c r="G462" t="s">
        <v>46</v>
      </c>
      <c r="H462" t="s">
        <v>7</v>
      </c>
      <c r="I462" t="s">
        <v>38</v>
      </c>
    </row>
    <row r="463" spans="1:9" x14ac:dyDescent="0.2">
      <c r="A463" t="s">
        <v>538</v>
      </c>
      <c r="B463" t="s">
        <v>270</v>
      </c>
      <c r="C463" t="s">
        <v>62</v>
      </c>
      <c r="D463">
        <v>1992</v>
      </c>
      <c r="E463" t="s">
        <v>513</v>
      </c>
      <c r="F463" t="s">
        <v>539</v>
      </c>
      <c r="G463" t="s">
        <v>41</v>
      </c>
      <c r="H463" t="s">
        <v>516</v>
      </c>
      <c r="I463" t="s">
        <v>38</v>
      </c>
    </row>
    <row r="464" spans="1:9" x14ac:dyDescent="0.2">
      <c r="A464" t="s">
        <v>538</v>
      </c>
      <c r="B464" t="s">
        <v>4</v>
      </c>
      <c r="C464" t="s">
        <v>4</v>
      </c>
      <c r="D464">
        <v>2000</v>
      </c>
      <c r="E464" t="s">
        <v>513</v>
      </c>
      <c r="F464" t="s">
        <v>539</v>
      </c>
      <c r="G464" t="s">
        <v>41</v>
      </c>
      <c r="H464" t="s">
        <v>516</v>
      </c>
      <c r="I464" t="s">
        <v>38</v>
      </c>
    </row>
    <row r="465" spans="1:9" x14ac:dyDescent="0.2">
      <c r="A465" t="s">
        <v>713</v>
      </c>
      <c r="B465" t="s">
        <v>283</v>
      </c>
      <c r="C465" t="s">
        <v>152</v>
      </c>
      <c r="D465">
        <v>2003</v>
      </c>
      <c r="E465" t="s">
        <v>641</v>
      </c>
      <c r="F465" t="s">
        <v>714</v>
      </c>
      <c r="G465" t="s">
        <v>665</v>
      </c>
      <c r="H465" t="s">
        <v>639</v>
      </c>
      <c r="I465" t="s">
        <v>8</v>
      </c>
    </row>
    <row r="466" spans="1:9" x14ac:dyDescent="0.2">
      <c r="A466" t="s">
        <v>232</v>
      </c>
      <c r="B466" t="s">
        <v>219</v>
      </c>
      <c r="C466" t="s">
        <v>219</v>
      </c>
      <c r="D466">
        <v>1997</v>
      </c>
      <c r="E466" t="s">
        <v>220</v>
      </c>
      <c r="F466" t="s">
        <v>209</v>
      </c>
      <c r="G466" t="s">
        <v>64</v>
      </c>
      <c r="H466" t="s">
        <v>156</v>
      </c>
      <c r="I466" t="s">
        <v>38</v>
      </c>
    </row>
    <row r="467" spans="1:9" x14ac:dyDescent="0.2">
      <c r="A467" t="s">
        <v>232</v>
      </c>
      <c r="B467" t="s">
        <v>62</v>
      </c>
      <c r="C467" t="s">
        <v>62</v>
      </c>
      <c r="D467">
        <v>2000</v>
      </c>
      <c r="E467" t="s">
        <v>220</v>
      </c>
      <c r="F467" t="s">
        <v>209</v>
      </c>
      <c r="G467" t="s">
        <v>64</v>
      </c>
      <c r="H467" t="s">
        <v>156</v>
      </c>
      <c r="I467" t="s">
        <v>38</v>
      </c>
    </row>
    <row r="468" spans="1:9" x14ac:dyDescent="0.2">
      <c r="A468" t="s">
        <v>232</v>
      </c>
      <c r="B468" t="s">
        <v>215</v>
      </c>
      <c r="C468" t="s">
        <v>215</v>
      </c>
      <c r="D468">
        <v>2000</v>
      </c>
      <c r="E468" t="s">
        <v>220</v>
      </c>
      <c r="F468" t="s">
        <v>209</v>
      </c>
      <c r="G468" t="s">
        <v>64</v>
      </c>
      <c r="H468" t="s">
        <v>156</v>
      </c>
      <c r="I468" t="s">
        <v>38</v>
      </c>
    </row>
    <row r="469" spans="1:9" x14ac:dyDescent="0.2">
      <c r="A469" t="s">
        <v>453</v>
      </c>
      <c r="B469" t="s">
        <v>62</v>
      </c>
      <c r="C469" t="s">
        <v>62</v>
      </c>
      <c r="D469">
        <v>1998</v>
      </c>
      <c r="E469" t="s">
        <v>449</v>
      </c>
      <c r="F469" t="s">
        <v>1228</v>
      </c>
      <c r="G469" t="s">
        <v>454</v>
      </c>
      <c r="H469" t="s">
        <v>451</v>
      </c>
      <c r="I469" t="s">
        <v>452</v>
      </c>
    </row>
    <row r="470" spans="1:9" x14ac:dyDescent="0.2">
      <c r="A470" t="s">
        <v>768</v>
      </c>
      <c r="B470" t="s">
        <v>4</v>
      </c>
      <c r="C470" t="s">
        <v>4</v>
      </c>
      <c r="D470">
        <v>1997</v>
      </c>
      <c r="E470" t="s">
        <v>641</v>
      </c>
      <c r="F470" t="s">
        <v>683</v>
      </c>
      <c r="G470" t="s">
        <v>229</v>
      </c>
      <c r="H470" t="s">
        <v>639</v>
      </c>
      <c r="I470" t="s">
        <v>8</v>
      </c>
    </row>
    <row r="471" spans="1:9" x14ac:dyDescent="0.2">
      <c r="A471" t="s">
        <v>801</v>
      </c>
      <c r="B471" t="s">
        <v>4</v>
      </c>
      <c r="C471" t="s">
        <v>4</v>
      </c>
      <c r="D471">
        <v>2000</v>
      </c>
      <c r="E471" t="s">
        <v>641</v>
      </c>
      <c r="F471" t="s">
        <v>683</v>
      </c>
      <c r="G471" t="s">
        <v>229</v>
      </c>
      <c r="H471" t="s">
        <v>639</v>
      </c>
      <c r="I471" t="s">
        <v>8</v>
      </c>
    </row>
    <row r="472" spans="1:9" x14ac:dyDescent="0.2">
      <c r="A472" t="s">
        <v>727</v>
      </c>
      <c r="B472" t="s">
        <v>94</v>
      </c>
      <c r="C472" t="s">
        <v>94</v>
      </c>
      <c r="D472">
        <v>1993</v>
      </c>
      <c r="E472" t="s">
        <v>641</v>
      </c>
      <c r="F472" t="s">
        <v>728</v>
      </c>
      <c r="G472" t="s">
        <v>105</v>
      </c>
      <c r="H472" t="s">
        <v>639</v>
      </c>
      <c r="I472" t="s">
        <v>8</v>
      </c>
    </row>
    <row r="473" spans="1:9" x14ac:dyDescent="0.2">
      <c r="A473" t="s">
        <v>183</v>
      </c>
      <c r="B473" t="s">
        <v>4</v>
      </c>
      <c r="C473" t="s">
        <v>4</v>
      </c>
      <c r="D473">
        <v>1997</v>
      </c>
      <c r="E473" t="s">
        <v>184</v>
      </c>
      <c r="F473" t="s">
        <v>185</v>
      </c>
      <c r="G473" t="s">
        <v>54</v>
      </c>
      <c r="H473" t="s">
        <v>156</v>
      </c>
      <c r="I473" t="s">
        <v>8</v>
      </c>
    </row>
    <row r="474" spans="1:9" x14ac:dyDescent="0.2">
      <c r="A474" t="s">
        <v>1063</v>
      </c>
      <c r="B474" t="s">
        <v>4</v>
      </c>
      <c r="C474" t="s">
        <v>4</v>
      </c>
      <c r="D474">
        <v>1997</v>
      </c>
      <c r="E474" t="s">
        <v>1059</v>
      </c>
      <c r="F474" t="s">
        <v>1219</v>
      </c>
      <c r="G474" t="s">
        <v>22</v>
      </c>
      <c r="H474" t="s">
        <v>1061</v>
      </c>
      <c r="I474" t="s">
        <v>452</v>
      </c>
    </row>
    <row r="475" spans="1:9" x14ac:dyDescent="0.2">
      <c r="A475" t="s">
        <v>698</v>
      </c>
      <c r="B475" t="s">
        <v>231</v>
      </c>
      <c r="C475" t="s">
        <v>231</v>
      </c>
      <c r="D475">
        <v>1993</v>
      </c>
      <c r="E475" t="s">
        <v>641</v>
      </c>
      <c r="F475" t="s">
        <v>699</v>
      </c>
      <c r="G475" t="s">
        <v>700</v>
      </c>
      <c r="H475" t="s">
        <v>639</v>
      </c>
      <c r="I475" t="s">
        <v>8</v>
      </c>
    </row>
    <row r="476" spans="1:9" x14ac:dyDescent="0.2">
      <c r="A476" t="s">
        <v>1126</v>
      </c>
      <c r="B476" t="s">
        <v>80</v>
      </c>
      <c r="C476" t="s">
        <v>17</v>
      </c>
      <c r="D476">
        <v>1996</v>
      </c>
      <c r="E476" t="s">
        <v>1127</v>
      </c>
      <c r="F476" t="s">
        <v>1128</v>
      </c>
      <c r="G476" t="s">
        <v>1129</v>
      </c>
      <c r="H476" t="s">
        <v>1130</v>
      </c>
      <c r="I476" t="s">
        <v>452</v>
      </c>
    </row>
    <row r="477" spans="1:9" x14ac:dyDescent="0.2">
      <c r="A477" t="s">
        <v>348</v>
      </c>
      <c r="B477" t="s">
        <v>4</v>
      </c>
      <c r="C477" t="s">
        <v>4</v>
      </c>
      <c r="D477">
        <v>2009</v>
      </c>
      <c r="E477" t="s">
        <v>161</v>
      </c>
      <c r="F477" t="s">
        <v>349</v>
      </c>
      <c r="G477" t="s">
        <v>43</v>
      </c>
      <c r="H477" t="s">
        <v>156</v>
      </c>
      <c r="I477" t="s">
        <v>164</v>
      </c>
    </row>
    <row r="478" spans="1:9" x14ac:dyDescent="0.2">
      <c r="A478" t="s">
        <v>885</v>
      </c>
      <c r="B478" t="s">
        <v>62</v>
      </c>
      <c r="C478" t="s">
        <v>62</v>
      </c>
      <c r="D478">
        <v>1990</v>
      </c>
      <c r="E478" t="s">
        <v>886</v>
      </c>
      <c r="F478" t="s">
        <v>887</v>
      </c>
      <c r="G478" t="s">
        <v>43</v>
      </c>
      <c r="H478" t="s">
        <v>877</v>
      </c>
      <c r="I478" t="s">
        <v>463</v>
      </c>
    </row>
    <row r="479" spans="1:9" x14ac:dyDescent="0.2">
      <c r="A479" t="s">
        <v>528</v>
      </c>
      <c r="B479" t="s">
        <v>4</v>
      </c>
      <c r="C479" t="s">
        <v>4</v>
      </c>
      <c r="D479">
        <v>2005</v>
      </c>
      <c r="E479" t="s">
        <v>518</v>
      </c>
      <c r="F479" t="s">
        <v>519</v>
      </c>
      <c r="G479" t="s">
        <v>369</v>
      </c>
      <c r="H479" t="s">
        <v>516</v>
      </c>
      <c r="I479" t="s">
        <v>520</v>
      </c>
    </row>
    <row r="480" spans="1:9" x14ac:dyDescent="0.2">
      <c r="A480" t="s">
        <v>528</v>
      </c>
      <c r="B480" t="s">
        <v>540</v>
      </c>
      <c r="C480" t="s">
        <v>540</v>
      </c>
      <c r="D480">
        <v>2007</v>
      </c>
      <c r="E480" t="s">
        <v>518</v>
      </c>
      <c r="F480" t="s">
        <v>519</v>
      </c>
      <c r="G480" t="s">
        <v>369</v>
      </c>
      <c r="H480" t="s">
        <v>516</v>
      </c>
      <c r="I480" t="s">
        <v>520</v>
      </c>
    </row>
    <row r="481" spans="1:9" x14ac:dyDescent="0.2">
      <c r="A481" t="s">
        <v>528</v>
      </c>
      <c r="B481" t="s">
        <v>117</v>
      </c>
      <c r="C481" t="s">
        <v>117</v>
      </c>
      <c r="D481">
        <v>2007</v>
      </c>
      <c r="E481" t="s">
        <v>518</v>
      </c>
      <c r="F481" t="s">
        <v>519</v>
      </c>
      <c r="G481" t="s">
        <v>369</v>
      </c>
      <c r="H481" t="s">
        <v>516</v>
      </c>
      <c r="I481" t="s">
        <v>520</v>
      </c>
    </row>
    <row r="482" spans="1:9" x14ac:dyDescent="0.2">
      <c r="A482" t="s">
        <v>528</v>
      </c>
      <c r="B482" t="s">
        <v>4</v>
      </c>
      <c r="C482" t="s">
        <v>4</v>
      </c>
      <c r="D482">
        <v>2007</v>
      </c>
      <c r="E482" t="s">
        <v>518</v>
      </c>
      <c r="F482" t="s">
        <v>519</v>
      </c>
      <c r="G482" t="s">
        <v>369</v>
      </c>
      <c r="H482" t="s">
        <v>516</v>
      </c>
      <c r="I482" t="s">
        <v>520</v>
      </c>
    </row>
    <row r="483" spans="1:9" x14ac:dyDescent="0.2">
      <c r="A483" t="s">
        <v>528</v>
      </c>
      <c r="B483" t="s">
        <v>117</v>
      </c>
      <c r="C483" t="s">
        <v>117</v>
      </c>
      <c r="D483">
        <v>2008</v>
      </c>
      <c r="E483" t="s">
        <v>518</v>
      </c>
      <c r="F483" t="s">
        <v>519</v>
      </c>
      <c r="G483" t="s">
        <v>369</v>
      </c>
      <c r="H483" t="s">
        <v>516</v>
      </c>
      <c r="I483" t="s">
        <v>520</v>
      </c>
    </row>
    <row r="484" spans="1:9" x14ac:dyDescent="0.2">
      <c r="A484" t="s">
        <v>528</v>
      </c>
      <c r="B484" t="s">
        <v>4</v>
      </c>
      <c r="C484" t="s">
        <v>4</v>
      </c>
      <c r="D484">
        <v>2008</v>
      </c>
      <c r="E484" t="s">
        <v>518</v>
      </c>
      <c r="F484" t="s">
        <v>519</v>
      </c>
      <c r="G484" t="s">
        <v>369</v>
      </c>
      <c r="H484" t="s">
        <v>516</v>
      </c>
      <c r="I484" t="s">
        <v>520</v>
      </c>
    </row>
    <row r="485" spans="1:9" x14ac:dyDescent="0.2">
      <c r="A485" t="s">
        <v>528</v>
      </c>
      <c r="B485" t="s">
        <v>117</v>
      </c>
      <c r="C485" t="s">
        <v>117</v>
      </c>
      <c r="D485">
        <v>2010</v>
      </c>
      <c r="E485" t="s">
        <v>518</v>
      </c>
      <c r="F485" t="s">
        <v>519</v>
      </c>
      <c r="G485" t="s">
        <v>369</v>
      </c>
      <c r="H485" t="s">
        <v>516</v>
      </c>
      <c r="I485" t="s">
        <v>520</v>
      </c>
    </row>
    <row r="486" spans="1:9" x14ac:dyDescent="0.2">
      <c r="A486" t="s">
        <v>562</v>
      </c>
      <c r="B486" t="s">
        <v>4</v>
      </c>
      <c r="C486" t="s">
        <v>4</v>
      </c>
      <c r="D486">
        <v>2004</v>
      </c>
      <c r="E486" t="s">
        <v>513</v>
      </c>
      <c r="F486" t="s">
        <v>563</v>
      </c>
      <c r="G486" t="s">
        <v>41</v>
      </c>
      <c r="H486" t="s">
        <v>516</v>
      </c>
      <c r="I486" t="s">
        <v>38</v>
      </c>
    </row>
    <row r="487" spans="1:9" x14ac:dyDescent="0.2">
      <c r="A487" t="s">
        <v>287</v>
      </c>
      <c r="B487" t="s">
        <v>272</v>
      </c>
      <c r="C487" t="s">
        <v>272</v>
      </c>
      <c r="D487">
        <v>2002</v>
      </c>
      <c r="E487" t="s">
        <v>220</v>
      </c>
      <c r="F487" t="s">
        <v>288</v>
      </c>
      <c r="G487" t="s">
        <v>289</v>
      </c>
      <c r="H487" t="s">
        <v>156</v>
      </c>
      <c r="I487" t="s">
        <v>38</v>
      </c>
    </row>
    <row r="488" spans="1:9" x14ac:dyDescent="0.2">
      <c r="A488" t="s">
        <v>221</v>
      </c>
      <c r="B488" t="s">
        <v>152</v>
      </c>
      <c r="C488" t="s">
        <v>152</v>
      </c>
      <c r="D488">
        <v>2007</v>
      </c>
      <c r="E488" t="s">
        <v>153</v>
      </c>
      <c r="F488" t="s">
        <v>222</v>
      </c>
      <c r="G488" t="s">
        <v>223</v>
      </c>
      <c r="H488" t="s">
        <v>156</v>
      </c>
      <c r="I488" t="s">
        <v>8</v>
      </c>
    </row>
    <row r="489" spans="1:9" x14ac:dyDescent="0.2">
      <c r="A489" t="s">
        <v>411</v>
      </c>
      <c r="B489" t="s">
        <v>69</v>
      </c>
      <c r="C489" t="s">
        <v>69</v>
      </c>
      <c r="D489">
        <v>1999</v>
      </c>
      <c r="E489" t="s">
        <v>192</v>
      </c>
      <c r="F489" t="s">
        <v>412</v>
      </c>
      <c r="G489" t="s">
        <v>163</v>
      </c>
      <c r="H489" t="s">
        <v>156</v>
      </c>
      <c r="I489" t="s">
        <v>195</v>
      </c>
    </row>
    <row r="490" spans="1:9" x14ac:dyDescent="0.2">
      <c r="A490" t="s">
        <v>1068</v>
      </c>
      <c r="B490" t="s">
        <v>1069</v>
      </c>
      <c r="C490" t="s">
        <v>1069</v>
      </c>
      <c r="D490">
        <v>2005</v>
      </c>
      <c r="E490" t="s">
        <v>1070</v>
      </c>
      <c r="F490" t="s">
        <v>1071</v>
      </c>
      <c r="G490" t="s">
        <v>1066</v>
      </c>
      <c r="H490" t="s">
        <v>1067</v>
      </c>
      <c r="I490" t="s">
        <v>8</v>
      </c>
    </row>
    <row r="491" spans="1:9" x14ac:dyDescent="0.2">
      <c r="A491" t="s">
        <v>1001</v>
      </c>
      <c r="B491" t="s">
        <v>80</v>
      </c>
      <c r="C491" t="s">
        <v>17</v>
      </c>
      <c r="D491">
        <v>2000</v>
      </c>
      <c r="E491" t="s">
        <v>996</v>
      </c>
      <c r="F491" t="s">
        <v>1002</v>
      </c>
      <c r="G491" t="s">
        <v>369</v>
      </c>
      <c r="H491" t="s">
        <v>999</v>
      </c>
      <c r="I491" t="s">
        <v>1000</v>
      </c>
    </row>
    <row r="492" spans="1:9" x14ac:dyDescent="0.2">
      <c r="A492" t="s">
        <v>126</v>
      </c>
      <c r="B492" t="s">
        <v>25</v>
      </c>
      <c r="C492" t="s">
        <v>25</v>
      </c>
      <c r="D492">
        <v>2005</v>
      </c>
      <c r="E492" t="s">
        <v>5</v>
      </c>
      <c r="F492" t="s">
        <v>127</v>
      </c>
      <c r="G492" t="s">
        <v>27</v>
      </c>
      <c r="H492" t="s">
        <v>7</v>
      </c>
      <c r="I492" t="s">
        <v>8</v>
      </c>
    </row>
    <row r="493" spans="1:9" x14ac:dyDescent="0.2">
      <c r="A493" t="s">
        <v>947</v>
      </c>
      <c r="B493" t="s">
        <v>4</v>
      </c>
      <c r="C493" t="s">
        <v>4</v>
      </c>
      <c r="D493">
        <v>2003</v>
      </c>
      <c r="E493" t="s">
        <v>936</v>
      </c>
      <c r="F493" t="s">
        <v>937</v>
      </c>
      <c r="G493" t="s">
        <v>105</v>
      </c>
      <c r="H493" t="s">
        <v>938</v>
      </c>
      <c r="I493" t="s">
        <v>8</v>
      </c>
    </row>
    <row r="494" spans="1:9" x14ac:dyDescent="0.2">
      <c r="A494" t="s">
        <v>947</v>
      </c>
      <c r="B494" t="s">
        <v>993</v>
      </c>
      <c r="C494" t="s">
        <v>993</v>
      </c>
      <c r="D494">
        <v>2004</v>
      </c>
      <c r="E494" t="s">
        <v>936</v>
      </c>
      <c r="F494" t="s">
        <v>937</v>
      </c>
      <c r="G494" t="s">
        <v>105</v>
      </c>
      <c r="H494" t="s">
        <v>938</v>
      </c>
      <c r="I494" t="s">
        <v>8</v>
      </c>
    </row>
    <row r="495" spans="1:9" x14ac:dyDescent="0.2">
      <c r="A495" t="s">
        <v>947</v>
      </c>
      <c r="B495" t="s">
        <v>4</v>
      </c>
      <c r="C495" t="s">
        <v>4</v>
      </c>
      <c r="D495">
        <v>2005</v>
      </c>
      <c r="E495" t="s">
        <v>936</v>
      </c>
      <c r="F495" t="s">
        <v>937</v>
      </c>
      <c r="G495" t="s">
        <v>105</v>
      </c>
      <c r="H495" t="s">
        <v>938</v>
      </c>
      <c r="I495" t="s">
        <v>8</v>
      </c>
    </row>
    <row r="496" spans="1:9" x14ac:dyDescent="0.2">
      <c r="A496" t="s">
        <v>973</v>
      </c>
      <c r="B496" t="s">
        <v>4</v>
      </c>
      <c r="C496" t="s">
        <v>4</v>
      </c>
      <c r="D496">
        <v>2004</v>
      </c>
      <c r="E496" t="s">
        <v>936</v>
      </c>
      <c r="F496" t="s">
        <v>937</v>
      </c>
      <c r="G496" t="s">
        <v>105</v>
      </c>
      <c r="H496" t="s">
        <v>938</v>
      </c>
      <c r="I496" t="s">
        <v>8</v>
      </c>
    </row>
    <row r="497" spans="1:9" x14ac:dyDescent="0.2">
      <c r="A497" t="s">
        <v>973</v>
      </c>
      <c r="B497" t="s">
        <v>4</v>
      </c>
      <c r="C497" t="s">
        <v>4</v>
      </c>
      <c r="D497">
        <v>2005</v>
      </c>
      <c r="E497" t="s">
        <v>936</v>
      </c>
      <c r="F497" t="s">
        <v>937</v>
      </c>
      <c r="G497" t="s">
        <v>105</v>
      </c>
      <c r="H497" t="s">
        <v>938</v>
      </c>
      <c r="I497" t="s">
        <v>8</v>
      </c>
    </row>
    <row r="498" spans="1:9" x14ac:dyDescent="0.2">
      <c r="A498" t="s">
        <v>973</v>
      </c>
      <c r="B498" t="s">
        <v>117</v>
      </c>
      <c r="C498" t="s">
        <v>117</v>
      </c>
      <c r="D498">
        <v>2006</v>
      </c>
      <c r="E498" t="s">
        <v>936</v>
      </c>
      <c r="F498" t="s">
        <v>937</v>
      </c>
      <c r="G498" t="s">
        <v>105</v>
      </c>
      <c r="H498" t="s">
        <v>938</v>
      </c>
      <c r="I498" t="s">
        <v>8</v>
      </c>
    </row>
    <row r="499" spans="1:9" x14ac:dyDescent="0.2">
      <c r="A499" t="s">
        <v>941</v>
      </c>
      <c r="B499" t="s">
        <v>4</v>
      </c>
      <c r="C499" t="s">
        <v>4</v>
      </c>
      <c r="D499">
        <v>2003</v>
      </c>
      <c r="E499" t="s">
        <v>936</v>
      </c>
      <c r="F499" t="s">
        <v>937</v>
      </c>
      <c r="G499" t="s">
        <v>105</v>
      </c>
      <c r="H499" t="s">
        <v>938</v>
      </c>
      <c r="I499" t="s">
        <v>8</v>
      </c>
    </row>
    <row r="500" spans="1:9" x14ac:dyDescent="0.2">
      <c r="A500" t="s">
        <v>941</v>
      </c>
      <c r="B500" t="s">
        <v>117</v>
      </c>
      <c r="C500" t="s">
        <v>117</v>
      </c>
      <c r="D500">
        <v>2005</v>
      </c>
      <c r="E500" t="s">
        <v>936</v>
      </c>
      <c r="F500" t="s">
        <v>937</v>
      </c>
      <c r="G500" t="s">
        <v>105</v>
      </c>
      <c r="H500" t="s">
        <v>938</v>
      </c>
      <c r="I500" t="s">
        <v>8</v>
      </c>
    </row>
    <row r="501" spans="1:9" x14ac:dyDescent="0.2">
      <c r="A501" t="s">
        <v>941</v>
      </c>
      <c r="B501" t="s">
        <v>4</v>
      </c>
      <c r="C501" t="s">
        <v>4</v>
      </c>
      <c r="D501">
        <v>2005</v>
      </c>
      <c r="E501" t="s">
        <v>936</v>
      </c>
      <c r="F501" t="s">
        <v>937</v>
      </c>
      <c r="G501" t="s">
        <v>105</v>
      </c>
      <c r="H501" t="s">
        <v>938</v>
      </c>
      <c r="I501" t="s">
        <v>8</v>
      </c>
    </row>
    <row r="502" spans="1:9" x14ac:dyDescent="0.2">
      <c r="A502" t="s">
        <v>393</v>
      </c>
      <c r="B502" t="s">
        <v>4</v>
      </c>
      <c r="C502" t="s">
        <v>4</v>
      </c>
      <c r="D502">
        <v>2002</v>
      </c>
      <c r="E502" t="s">
        <v>153</v>
      </c>
      <c r="F502" t="s">
        <v>1226</v>
      </c>
      <c r="G502" t="s">
        <v>394</v>
      </c>
      <c r="H502" t="s">
        <v>156</v>
      </c>
      <c r="I502" t="s">
        <v>8</v>
      </c>
    </row>
    <row r="503" spans="1:9" x14ac:dyDescent="0.2">
      <c r="A503" t="s">
        <v>1034</v>
      </c>
      <c r="B503" t="s">
        <v>231</v>
      </c>
      <c r="C503" t="s">
        <v>231</v>
      </c>
      <c r="D503">
        <v>1995</v>
      </c>
      <c r="E503" t="s">
        <v>1015</v>
      </c>
      <c r="F503" t="s">
        <v>1016</v>
      </c>
      <c r="G503" t="s">
        <v>1012</v>
      </c>
      <c r="H503" t="s">
        <v>1008</v>
      </c>
      <c r="I503" t="s">
        <v>1018</v>
      </c>
    </row>
    <row r="504" spans="1:9" x14ac:dyDescent="0.2">
      <c r="A504" t="s">
        <v>663</v>
      </c>
      <c r="B504" t="s">
        <v>283</v>
      </c>
      <c r="C504" t="s">
        <v>152</v>
      </c>
      <c r="D504">
        <v>2003</v>
      </c>
      <c r="E504" t="s">
        <v>641</v>
      </c>
      <c r="F504" t="s">
        <v>664</v>
      </c>
      <c r="G504" t="s">
        <v>665</v>
      </c>
      <c r="H504" t="s">
        <v>639</v>
      </c>
      <c r="I504" t="s">
        <v>8</v>
      </c>
    </row>
    <row r="505" spans="1:9" x14ac:dyDescent="0.2">
      <c r="A505" t="s">
        <v>318</v>
      </c>
      <c r="B505" t="s">
        <v>319</v>
      </c>
      <c r="C505" t="s">
        <v>320</v>
      </c>
      <c r="D505">
        <v>1997</v>
      </c>
      <c r="E505" t="s">
        <v>220</v>
      </c>
      <c r="F505" t="s">
        <v>321</v>
      </c>
      <c r="G505" t="s">
        <v>322</v>
      </c>
      <c r="H505" t="s">
        <v>156</v>
      </c>
      <c r="I505" t="s">
        <v>38</v>
      </c>
    </row>
    <row r="506" spans="1:9" x14ac:dyDescent="0.2">
      <c r="A506" t="s">
        <v>1153</v>
      </c>
      <c r="B506" t="s">
        <v>4</v>
      </c>
      <c r="C506" t="s">
        <v>4</v>
      </c>
      <c r="D506">
        <v>1994</v>
      </c>
      <c r="E506" t="s">
        <v>1145</v>
      </c>
      <c r="F506" t="s">
        <v>1154</v>
      </c>
      <c r="G506" t="s">
        <v>1147</v>
      </c>
      <c r="H506" t="s">
        <v>1148</v>
      </c>
      <c r="I506" t="s">
        <v>1093</v>
      </c>
    </row>
    <row r="507" spans="1:9" x14ac:dyDescent="0.2">
      <c r="A507" t="s">
        <v>982</v>
      </c>
      <c r="B507" t="s">
        <v>4</v>
      </c>
      <c r="C507" t="s">
        <v>4</v>
      </c>
      <c r="D507">
        <v>2007</v>
      </c>
      <c r="E507" t="s">
        <v>936</v>
      </c>
      <c r="F507" t="s">
        <v>937</v>
      </c>
      <c r="G507" t="s">
        <v>105</v>
      </c>
      <c r="H507" t="s">
        <v>938</v>
      </c>
      <c r="I507" t="s">
        <v>8</v>
      </c>
    </row>
    <row r="508" spans="1:9" x14ac:dyDescent="0.2">
      <c r="A508" t="s">
        <v>567</v>
      </c>
      <c r="B508" t="s">
        <v>280</v>
      </c>
      <c r="C508" t="s">
        <v>280</v>
      </c>
      <c r="D508">
        <v>1997</v>
      </c>
      <c r="E508" t="s">
        <v>522</v>
      </c>
      <c r="F508" t="s">
        <v>568</v>
      </c>
      <c r="G508" t="s">
        <v>569</v>
      </c>
      <c r="H508" t="s">
        <v>516</v>
      </c>
      <c r="I508" t="s">
        <v>524</v>
      </c>
    </row>
    <row r="509" spans="1:9" x14ac:dyDescent="0.2">
      <c r="A509" t="s">
        <v>504</v>
      </c>
      <c r="B509" t="s">
        <v>117</v>
      </c>
      <c r="C509" t="s">
        <v>117</v>
      </c>
      <c r="D509">
        <v>2006</v>
      </c>
      <c r="E509" t="s">
        <v>460</v>
      </c>
      <c r="F509" t="s">
        <v>475</v>
      </c>
      <c r="G509" t="s">
        <v>476</v>
      </c>
      <c r="H509" t="s">
        <v>462</v>
      </c>
      <c r="I509" t="s">
        <v>463</v>
      </c>
    </row>
    <row r="510" spans="1:9" x14ac:dyDescent="0.2">
      <c r="A510" t="s">
        <v>935</v>
      </c>
      <c r="B510" t="s">
        <v>4</v>
      </c>
      <c r="C510" t="s">
        <v>4</v>
      </c>
      <c r="D510">
        <v>2004</v>
      </c>
      <c r="E510" t="s">
        <v>936</v>
      </c>
      <c r="F510" t="s">
        <v>937</v>
      </c>
      <c r="G510" t="s">
        <v>105</v>
      </c>
      <c r="H510" t="s">
        <v>938</v>
      </c>
      <c r="I510" t="s">
        <v>8</v>
      </c>
    </row>
    <row r="511" spans="1:9" x14ac:dyDescent="0.2">
      <c r="A511" t="s">
        <v>935</v>
      </c>
      <c r="B511" t="s">
        <v>117</v>
      </c>
      <c r="C511" t="s">
        <v>117</v>
      </c>
      <c r="D511">
        <v>2005</v>
      </c>
      <c r="E511" t="s">
        <v>936</v>
      </c>
      <c r="F511" t="s">
        <v>937</v>
      </c>
      <c r="G511" t="s">
        <v>105</v>
      </c>
      <c r="H511" t="s">
        <v>938</v>
      </c>
      <c r="I511" t="s">
        <v>8</v>
      </c>
    </row>
    <row r="512" spans="1:9" x14ac:dyDescent="0.2">
      <c r="A512" t="s">
        <v>935</v>
      </c>
      <c r="B512" t="s">
        <v>4</v>
      </c>
      <c r="C512" t="s">
        <v>4</v>
      </c>
      <c r="D512">
        <v>2005</v>
      </c>
      <c r="E512" t="s">
        <v>936</v>
      </c>
      <c r="F512" t="s">
        <v>937</v>
      </c>
      <c r="G512" t="s">
        <v>105</v>
      </c>
      <c r="H512" t="s">
        <v>938</v>
      </c>
      <c r="I512" t="s">
        <v>8</v>
      </c>
    </row>
    <row r="513" spans="1:9" x14ac:dyDescent="0.2">
      <c r="A513" t="s">
        <v>651</v>
      </c>
      <c r="B513" t="s">
        <v>4</v>
      </c>
      <c r="C513" t="s">
        <v>4</v>
      </c>
      <c r="D513">
        <v>2008</v>
      </c>
      <c r="E513" t="s">
        <v>641</v>
      </c>
      <c r="F513" t="s">
        <v>652</v>
      </c>
      <c r="G513" t="s">
        <v>650</v>
      </c>
      <c r="H513" t="s">
        <v>639</v>
      </c>
      <c r="I513" t="s">
        <v>8</v>
      </c>
    </row>
    <row r="514" spans="1:9" x14ac:dyDescent="0.2">
      <c r="A514" t="s">
        <v>944</v>
      </c>
      <c r="B514" t="s">
        <v>62</v>
      </c>
      <c r="C514" t="s">
        <v>62</v>
      </c>
      <c r="D514">
        <v>2000</v>
      </c>
      <c r="E514" t="s">
        <v>945</v>
      </c>
      <c r="F514" t="s">
        <v>946</v>
      </c>
      <c r="G514" t="s">
        <v>369</v>
      </c>
      <c r="H514" t="s">
        <v>938</v>
      </c>
      <c r="I514" t="s">
        <v>463</v>
      </c>
    </row>
    <row r="515" spans="1:9" x14ac:dyDescent="0.2">
      <c r="A515" t="s">
        <v>482</v>
      </c>
      <c r="B515" t="s">
        <v>117</v>
      </c>
      <c r="C515" t="s">
        <v>117</v>
      </c>
      <c r="D515">
        <v>2001</v>
      </c>
      <c r="E515" t="s">
        <v>460</v>
      </c>
      <c r="F515" t="s">
        <v>475</v>
      </c>
      <c r="G515" t="s">
        <v>478</v>
      </c>
      <c r="H515" t="s">
        <v>462</v>
      </c>
      <c r="I515" t="s">
        <v>463</v>
      </c>
    </row>
    <row r="516" spans="1:9" x14ac:dyDescent="0.2">
      <c r="A516" t="s">
        <v>508</v>
      </c>
      <c r="B516" t="s">
        <v>4</v>
      </c>
      <c r="C516" t="s">
        <v>4</v>
      </c>
      <c r="D516">
        <v>1994</v>
      </c>
      <c r="E516" t="s">
        <v>497</v>
      </c>
      <c r="F516" t="s">
        <v>475</v>
      </c>
      <c r="G516" t="s">
        <v>494</v>
      </c>
      <c r="H516" t="s">
        <v>462</v>
      </c>
      <c r="I516" t="s">
        <v>8</v>
      </c>
    </row>
    <row r="517" spans="1:9" x14ac:dyDescent="0.2">
      <c r="A517" t="s">
        <v>477</v>
      </c>
      <c r="B517" t="s">
        <v>4</v>
      </c>
      <c r="C517" t="s">
        <v>4</v>
      </c>
      <c r="D517">
        <v>1993</v>
      </c>
      <c r="E517" t="s">
        <v>460</v>
      </c>
      <c r="F517" t="s">
        <v>475</v>
      </c>
      <c r="G517" t="s">
        <v>494</v>
      </c>
      <c r="H517" t="s">
        <v>462</v>
      </c>
      <c r="I517" t="s">
        <v>463</v>
      </c>
    </row>
    <row r="518" spans="1:9" x14ac:dyDescent="0.2">
      <c r="A518" t="s">
        <v>477</v>
      </c>
      <c r="B518" t="s">
        <v>4</v>
      </c>
      <c r="C518" t="s">
        <v>4</v>
      </c>
      <c r="D518">
        <v>1996</v>
      </c>
      <c r="E518" t="s">
        <v>460</v>
      </c>
      <c r="F518" t="s">
        <v>475</v>
      </c>
      <c r="G518" t="s">
        <v>478</v>
      </c>
      <c r="H518" t="s">
        <v>462</v>
      </c>
      <c r="I518" t="s">
        <v>463</v>
      </c>
    </row>
    <row r="519" spans="1:9" x14ac:dyDescent="0.2">
      <c r="A519" t="s">
        <v>493</v>
      </c>
      <c r="B519" t="s">
        <v>4</v>
      </c>
      <c r="C519" t="s">
        <v>4</v>
      </c>
      <c r="D519">
        <v>1990</v>
      </c>
      <c r="E519" t="s">
        <v>460</v>
      </c>
      <c r="F519" t="s">
        <v>1229</v>
      </c>
      <c r="G519" t="s">
        <v>490</v>
      </c>
      <c r="H519" t="s">
        <v>462</v>
      </c>
      <c r="I519" t="s">
        <v>463</v>
      </c>
    </row>
    <row r="520" spans="1:9" x14ac:dyDescent="0.2">
      <c r="A520" t="s">
        <v>469</v>
      </c>
      <c r="B520" t="s">
        <v>117</v>
      </c>
      <c r="C520" t="s">
        <v>117</v>
      </c>
      <c r="D520">
        <v>1996</v>
      </c>
      <c r="E520" t="s">
        <v>460</v>
      </c>
      <c r="F520" t="s">
        <v>1229</v>
      </c>
      <c r="G520" t="s">
        <v>470</v>
      </c>
      <c r="H520" t="s">
        <v>462</v>
      </c>
      <c r="I520" t="s">
        <v>463</v>
      </c>
    </row>
    <row r="521" spans="1:9" x14ac:dyDescent="0.2">
      <c r="A521" t="s">
        <v>469</v>
      </c>
      <c r="B521" t="s">
        <v>117</v>
      </c>
      <c r="C521" t="s">
        <v>117</v>
      </c>
      <c r="D521">
        <v>2005</v>
      </c>
      <c r="E521" t="s">
        <v>460</v>
      </c>
      <c r="F521" t="s">
        <v>1229</v>
      </c>
      <c r="G521" t="s">
        <v>470</v>
      </c>
      <c r="H521" t="s">
        <v>462</v>
      </c>
      <c r="I521" t="s">
        <v>463</v>
      </c>
    </row>
    <row r="522" spans="1:9" x14ac:dyDescent="0.2">
      <c r="A522" t="s">
        <v>509</v>
      </c>
      <c r="B522" t="s">
        <v>510</v>
      </c>
      <c r="C522" t="s">
        <v>510</v>
      </c>
      <c r="D522">
        <v>2001</v>
      </c>
      <c r="E522" t="s">
        <v>460</v>
      </c>
      <c r="F522" t="s">
        <v>475</v>
      </c>
      <c r="G522" t="s">
        <v>476</v>
      </c>
      <c r="H522" t="s">
        <v>462</v>
      </c>
      <c r="I522" t="s">
        <v>463</v>
      </c>
    </row>
    <row r="523" spans="1:9" x14ac:dyDescent="0.2">
      <c r="A523" t="s">
        <v>498</v>
      </c>
      <c r="B523" t="s">
        <v>4</v>
      </c>
      <c r="C523" t="s">
        <v>4</v>
      </c>
      <c r="D523">
        <v>1994</v>
      </c>
      <c r="E523" t="s">
        <v>460</v>
      </c>
      <c r="F523" t="s">
        <v>1229</v>
      </c>
      <c r="G523" t="s">
        <v>499</v>
      </c>
      <c r="H523" t="s">
        <v>462</v>
      </c>
      <c r="I523" t="s">
        <v>463</v>
      </c>
    </row>
    <row r="524" spans="1:9" x14ac:dyDescent="0.2">
      <c r="A524" t="s">
        <v>495</v>
      </c>
      <c r="B524" t="s">
        <v>496</v>
      </c>
      <c r="C524" t="s">
        <v>496</v>
      </c>
      <c r="D524">
        <v>2004</v>
      </c>
      <c r="E524" t="s">
        <v>497</v>
      </c>
      <c r="F524" t="s">
        <v>1229</v>
      </c>
      <c r="G524" t="s">
        <v>490</v>
      </c>
      <c r="H524" t="s">
        <v>462</v>
      </c>
      <c r="I524" t="s">
        <v>8</v>
      </c>
    </row>
    <row r="525" spans="1:9" x14ac:dyDescent="0.2">
      <c r="A525" t="s">
        <v>464</v>
      </c>
      <c r="B525" t="s">
        <v>4</v>
      </c>
      <c r="C525" t="s">
        <v>4</v>
      </c>
      <c r="D525">
        <v>2003</v>
      </c>
      <c r="E525" t="s">
        <v>460</v>
      </c>
      <c r="F525" t="s">
        <v>1229</v>
      </c>
      <c r="G525" t="s">
        <v>465</v>
      </c>
      <c r="H525" t="s">
        <v>462</v>
      </c>
      <c r="I525" t="s">
        <v>463</v>
      </c>
    </row>
    <row r="526" spans="1:9" x14ac:dyDescent="0.2">
      <c r="A526" t="s">
        <v>247</v>
      </c>
      <c r="B526" t="s">
        <v>62</v>
      </c>
      <c r="C526" t="s">
        <v>62</v>
      </c>
      <c r="D526">
        <v>1999</v>
      </c>
      <c r="E526" t="s">
        <v>220</v>
      </c>
      <c r="F526" t="s">
        <v>209</v>
      </c>
      <c r="G526" t="s">
        <v>64</v>
      </c>
      <c r="H526" t="s">
        <v>156</v>
      </c>
      <c r="I526" t="s">
        <v>38</v>
      </c>
    </row>
    <row r="527" spans="1:9" x14ac:dyDescent="0.2">
      <c r="A527" t="s">
        <v>381</v>
      </c>
      <c r="B527" t="s">
        <v>382</v>
      </c>
      <c r="C527" t="s">
        <v>382</v>
      </c>
      <c r="D527">
        <v>2000</v>
      </c>
      <c r="E527" t="s">
        <v>220</v>
      </c>
      <c r="F527" t="s">
        <v>209</v>
      </c>
      <c r="G527" t="s">
        <v>169</v>
      </c>
      <c r="H527" t="s">
        <v>156</v>
      </c>
      <c r="I527" t="s">
        <v>38</v>
      </c>
    </row>
    <row r="528" spans="1:9" x14ac:dyDescent="0.2">
      <c r="A528" t="s">
        <v>65</v>
      </c>
      <c r="B528" t="s">
        <v>4</v>
      </c>
      <c r="C528" t="s">
        <v>4</v>
      </c>
      <c r="D528">
        <v>2006</v>
      </c>
      <c r="E528" t="s">
        <v>5</v>
      </c>
      <c r="F528" t="s">
        <v>6</v>
      </c>
      <c r="G528" t="s">
        <v>6</v>
      </c>
      <c r="H528" t="s">
        <v>7</v>
      </c>
      <c r="I528" t="s">
        <v>8</v>
      </c>
    </row>
    <row r="529" spans="1:9" x14ac:dyDescent="0.2">
      <c r="A529" t="s">
        <v>370</v>
      </c>
      <c r="B529" t="s">
        <v>4</v>
      </c>
      <c r="C529" t="s">
        <v>4</v>
      </c>
      <c r="D529">
        <v>1997</v>
      </c>
      <c r="E529" t="s">
        <v>371</v>
      </c>
      <c r="F529" t="s">
        <v>372</v>
      </c>
      <c r="G529" t="s">
        <v>207</v>
      </c>
      <c r="H529" t="s">
        <v>156</v>
      </c>
      <c r="I529" t="s">
        <v>373</v>
      </c>
    </row>
    <row r="530" spans="1:9" x14ac:dyDescent="0.2">
      <c r="A530" t="s">
        <v>208</v>
      </c>
      <c r="B530" t="s">
        <v>4</v>
      </c>
      <c r="C530" t="s">
        <v>4</v>
      </c>
      <c r="D530">
        <v>2002</v>
      </c>
      <c r="E530" t="s">
        <v>161</v>
      </c>
      <c r="F530" t="s">
        <v>209</v>
      </c>
      <c r="G530" t="s">
        <v>207</v>
      </c>
      <c r="H530" t="s">
        <v>156</v>
      </c>
      <c r="I530" t="s">
        <v>164</v>
      </c>
    </row>
    <row r="531" spans="1:9" x14ac:dyDescent="0.2">
      <c r="A531" t="s">
        <v>406</v>
      </c>
      <c r="B531" t="s">
        <v>407</v>
      </c>
      <c r="C531" t="s">
        <v>62</v>
      </c>
      <c r="D531">
        <v>2002</v>
      </c>
      <c r="E531" t="s">
        <v>211</v>
      </c>
      <c r="F531" t="s">
        <v>408</v>
      </c>
      <c r="G531" t="s">
        <v>409</v>
      </c>
      <c r="H531" t="s">
        <v>156</v>
      </c>
      <c r="I531" t="s">
        <v>38</v>
      </c>
    </row>
    <row r="532" spans="1:9" x14ac:dyDescent="0.2">
      <c r="A532" t="s">
        <v>303</v>
      </c>
      <c r="B532" t="s">
        <v>304</v>
      </c>
      <c r="C532" t="s">
        <v>304</v>
      </c>
      <c r="D532">
        <v>1998</v>
      </c>
      <c r="E532" t="s">
        <v>211</v>
      </c>
      <c r="F532" t="s">
        <v>305</v>
      </c>
      <c r="G532" t="s">
        <v>306</v>
      </c>
      <c r="H532" t="s">
        <v>156</v>
      </c>
      <c r="I532" t="s">
        <v>38</v>
      </c>
    </row>
    <row r="533" spans="1:9" x14ac:dyDescent="0.2">
      <c r="A533" t="s">
        <v>359</v>
      </c>
      <c r="B533" t="s">
        <v>34</v>
      </c>
      <c r="C533" t="s">
        <v>34</v>
      </c>
      <c r="D533">
        <v>2002</v>
      </c>
      <c r="E533" t="s">
        <v>211</v>
      </c>
      <c r="F533" t="s">
        <v>305</v>
      </c>
      <c r="G533" t="s">
        <v>37</v>
      </c>
      <c r="H533" t="s">
        <v>156</v>
      </c>
      <c r="I533" t="s">
        <v>38</v>
      </c>
    </row>
    <row r="534" spans="1:9" x14ac:dyDescent="0.2">
      <c r="A534" t="s">
        <v>631</v>
      </c>
      <c r="B534" t="s">
        <v>48</v>
      </c>
      <c r="C534" t="s">
        <v>48</v>
      </c>
      <c r="D534">
        <v>1999</v>
      </c>
      <c r="E534" t="s">
        <v>522</v>
      </c>
      <c r="F534" t="s">
        <v>600</v>
      </c>
      <c r="G534" t="s">
        <v>601</v>
      </c>
      <c r="H534" t="s">
        <v>516</v>
      </c>
      <c r="I534" t="s">
        <v>524</v>
      </c>
    </row>
    <row r="535" spans="1:9" x14ac:dyDescent="0.2">
      <c r="A535" t="s">
        <v>983</v>
      </c>
      <c r="B535" t="s">
        <v>957</v>
      </c>
      <c r="C535" t="s">
        <v>957</v>
      </c>
      <c r="D535">
        <v>1995</v>
      </c>
      <c r="E535" t="s">
        <v>936</v>
      </c>
      <c r="F535" t="s">
        <v>984</v>
      </c>
      <c r="G535" t="s">
        <v>959</v>
      </c>
      <c r="H535" t="s">
        <v>938</v>
      </c>
      <c r="I535" t="s">
        <v>8</v>
      </c>
    </row>
    <row r="536" spans="1:9" x14ac:dyDescent="0.2">
      <c r="A536" t="s">
        <v>171</v>
      </c>
      <c r="B536" t="s">
        <v>4</v>
      </c>
      <c r="C536" t="s">
        <v>4</v>
      </c>
      <c r="D536">
        <v>2000</v>
      </c>
      <c r="E536" t="s">
        <v>172</v>
      </c>
      <c r="F536" t="s">
        <v>1224</v>
      </c>
      <c r="G536" t="s">
        <v>173</v>
      </c>
      <c r="H536" t="s">
        <v>156</v>
      </c>
      <c r="I536" t="s">
        <v>174</v>
      </c>
    </row>
    <row r="537" spans="1:9" x14ac:dyDescent="0.2">
      <c r="A537" t="s">
        <v>797</v>
      </c>
      <c r="B537" t="s">
        <v>407</v>
      </c>
      <c r="C537" t="s">
        <v>62</v>
      </c>
      <c r="D537">
        <v>2001</v>
      </c>
      <c r="E537" t="s">
        <v>637</v>
      </c>
      <c r="F537" t="s">
        <v>798</v>
      </c>
      <c r="G537" t="s">
        <v>259</v>
      </c>
      <c r="H537" t="s">
        <v>639</v>
      </c>
      <c r="I537" t="s">
        <v>463</v>
      </c>
    </row>
    <row r="538" spans="1:9" x14ac:dyDescent="0.2">
      <c r="A538" t="s">
        <v>455</v>
      </c>
      <c r="B538" t="s">
        <v>176</v>
      </c>
      <c r="C538" t="s">
        <v>176</v>
      </c>
      <c r="D538">
        <v>1996</v>
      </c>
      <c r="E538" t="s">
        <v>456</v>
      </c>
      <c r="F538" t="s">
        <v>457</v>
      </c>
      <c r="G538" t="s">
        <v>458</v>
      </c>
      <c r="H538" t="s">
        <v>451</v>
      </c>
      <c r="I538" t="s">
        <v>452</v>
      </c>
    </row>
    <row r="539" spans="1:9" x14ac:dyDescent="0.2">
      <c r="A539" t="s">
        <v>360</v>
      </c>
      <c r="B539" t="s">
        <v>130</v>
      </c>
      <c r="C539" t="s">
        <v>34</v>
      </c>
      <c r="D539">
        <v>2002</v>
      </c>
      <c r="E539" t="s">
        <v>220</v>
      </c>
      <c r="F539" t="s">
        <v>361</v>
      </c>
      <c r="G539" t="s">
        <v>37</v>
      </c>
      <c r="H539" t="s">
        <v>156</v>
      </c>
      <c r="I539" t="s">
        <v>38</v>
      </c>
    </row>
    <row r="540" spans="1:9" x14ac:dyDescent="0.2">
      <c r="A540" t="s">
        <v>580</v>
      </c>
      <c r="B540" t="s">
        <v>62</v>
      </c>
      <c r="C540" t="s">
        <v>62</v>
      </c>
      <c r="D540">
        <v>1998</v>
      </c>
      <c r="E540" t="s">
        <v>513</v>
      </c>
      <c r="F540" t="s">
        <v>581</v>
      </c>
      <c r="G540" t="s">
        <v>582</v>
      </c>
      <c r="H540" t="s">
        <v>516</v>
      </c>
      <c r="I540" t="s">
        <v>38</v>
      </c>
    </row>
    <row r="541" spans="1:9" x14ac:dyDescent="0.2">
      <c r="A541" t="s">
        <v>687</v>
      </c>
      <c r="B541" t="s">
        <v>4</v>
      </c>
      <c r="C541" t="s">
        <v>4</v>
      </c>
      <c r="D541">
        <v>1994</v>
      </c>
      <c r="E541" t="s">
        <v>641</v>
      </c>
      <c r="F541" t="s">
        <v>642</v>
      </c>
      <c r="G541" t="s">
        <v>95</v>
      </c>
      <c r="H541" t="s">
        <v>639</v>
      </c>
      <c r="I541" t="s">
        <v>8</v>
      </c>
    </row>
    <row r="542" spans="1:9" x14ac:dyDescent="0.2">
      <c r="A542" t="s">
        <v>800</v>
      </c>
      <c r="B542" t="s">
        <v>4</v>
      </c>
      <c r="C542" t="s">
        <v>4</v>
      </c>
      <c r="D542">
        <v>1993</v>
      </c>
      <c r="E542" t="s">
        <v>641</v>
      </c>
      <c r="F542" t="s">
        <v>642</v>
      </c>
      <c r="G542" t="s">
        <v>95</v>
      </c>
      <c r="H542" t="s">
        <v>639</v>
      </c>
      <c r="I542" t="s">
        <v>8</v>
      </c>
    </row>
    <row r="543" spans="1:9" x14ac:dyDescent="0.2">
      <c r="A543" t="s">
        <v>800</v>
      </c>
      <c r="B543" t="s">
        <v>94</v>
      </c>
      <c r="C543" t="s">
        <v>94</v>
      </c>
      <c r="D543">
        <v>1994</v>
      </c>
      <c r="E543" t="s">
        <v>641</v>
      </c>
      <c r="F543" t="s">
        <v>642</v>
      </c>
      <c r="G543" t="s">
        <v>95</v>
      </c>
      <c r="H543" t="s">
        <v>639</v>
      </c>
      <c r="I543" t="s">
        <v>8</v>
      </c>
    </row>
    <row r="544" spans="1:9" x14ac:dyDescent="0.2">
      <c r="A544" t="s">
        <v>950</v>
      </c>
      <c r="B544" t="s">
        <v>77</v>
      </c>
      <c r="C544" t="s">
        <v>17</v>
      </c>
      <c r="D544">
        <v>2007</v>
      </c>
      <c r="E544" t="s">
        <v>936</v>
      </c>
      <c r="F544" t="s">
        <v>951</v>
      </c>
      <c r="G544" t="s">
        <v>952</v>
      </c>
      <c r="H544" t="s">
        <v>938</v>
      </c>
      <c r="I544" t="s">
        <v>8</v>
      </c>
    </row>
    <row r="545" spans="1:9" x14ac:dyDescent="0.2">
      <c r="A545" t="s">
        <v>950</v>
      </c>
      <c r="B545" t="s">
        <v>17</v>
      </c>
      <c r="C545" t="s">
        <v>17</v>
      </c>
      <c r="D545">
        <v>2010</v>
      </c>
      <c r="E545" t="s">
        <v>936</v>
      </c>
      <c r="F545" t="s">
        <v>951</v>
      </c>
      <c r="G545" t="s">
        <v>952</v>
      </c>
      <c r="H545" t="s">
        <v>938</v>
      </c>
      <c r="I545" t="s">
        <v>8</v>
      </c>
    </row>
    <row r="546" spans="1:9" x14ac:dyDescent="0.2">
      <c r="A546" t="s">
        <v>965</v>
      </c>
      <c r="B546" t="s">
        <v>77</v>
      </c>
      <c r="C546" t="s">
        <v>17</v>
      </c>
      <c r="D546">
        <v>2004</v>
      </c>
      <c r="E546" t="s">
        <v>936</v>
      </c>
      <c r="F546" t="s">
        <v>951</v>
      </c>
      <c r="G546" t="s">
        <v>966</v>
      </c>
      <c r="H546" t="s">
        <v>938</v>
      </c>
      <c r="I546" t="s">
        <v>8</v>
      </c>
    </row>
    <row r="547" spans="1:9" x14ac:dyDescent="0.2">
      <c r="A547" t="s">
        <v>965</v>
      </c>
      <c r="B547" t="s">
        <v>17</v>
      </c>
      <c r="C547" t="s">
        <v>17</v>
      </c>
      <c r="D547">
        <v>2010</v>
      </c>
      <c r="E547" t="s">
        <v>936</v>
      </c>
      <c r="F547" t="s">
        <v>951</v>
      </c>
      <c r="G547" t="s">
        <v>952</v>
      </c>
      <c r="H547" t="s">
        <v>938</v>
      </c>
      <c r="I547" t="s">
        <v>8</v>
      </c>
    </row>
    <row r="548" spans="1:9" x14ac:dyDescent="0.2">
      <c r="A548" t="s">
        <v>994</v>
      </c>
      <c r="B548" t="s">
        <v>77</v>
      </c>
      <c r="C548" t="s">
        <v>17</v>
      </c>
      <c r="D548">
        <v>2004</v>
      </c>
      <c r="E548" t="s">
        <v>936</v>
      </c>
      <c r="F548" t="s">
        <v>951</v>
      </c>
      <c r="G548" t="s">
        <v>966</v>
      </c>
      <c r="H548" t="s">
        <v>938</v>
      </c>
      <c r="I548" t="s">
        <v>8</v>
      </c>
    </row>
    <row r="549" spans="1:9" x14ac:dyDescent="0.2">
      <c r="A549" t="s">
        <v>793</v>
      </c>
      <c r="B549" t="s">
        <v>4</v>
      </c>
      <c r="C549" t="s">
        <v>4</v>
      </c>
      <c r="D549">
        <v>1992</v>
      </c>
      <c r="E549" t="s">
        <v>641</v>
      </c>
      <c r="F549" t="s">
        <v>642</v>
      </c>
      <c r="G549" t="s">
        <v>95</v>
      </c>
      <c r="H549" t="s">
        <v>639</v>
      </c>
      <c r="I549" t="s">
        <v>8</v>
      </c>
    </row>
    <row r="550" spans="1:9" x14ac:dyDescent="0.2">
      <c r="A550" t="s">
        <v>606</v>
      </c>
      <c r="B550" t="s">
        <v>607</v>
      </c>
      <c r="C550" t="s">
        <v>607</v>
      </c>
      <c r="D550">
        <v>1996</v>
      </c>
      <c r="E550" t="s">
        <v>608</v>
      </c>
      <c r="F550" t="s">
        <v>609</v>
      </c>
      <c r="G550" t="s">
        <v>41</v>
      </c>
      <c r="H550" t="s">
        <v>516</v>
      </c>
      <c r="I550" t="s">
        <v>610</v>
      </c>
    </row>
    <row r="551" spans="1:9" x14ac:dyDescent="0.2">
      <c r="A551" t="s">
        <v>1079</v>
      </c>
      <c r="B551" t="s">
        <v>1076</v>
      </c>
      <c r="C551" t="s">
        <v>1076</v>
      </c>
      <c r="D551">
        <v>2003</v>
      </c>
      <c r="E551" t="s">
        <v>1080</v>
      </c>
      <c r="F551" t="s">
        <v>1074</v>
      </c>
      <c r="G551" t="s">
        <v>1066</v>
      </c>
      <c r="H551" t="s">
        <v>1067</v>
      </c>
      <c r="I551" t="s">
        <v>463</v>
      </c>
    </row>
    <row r="552" spans="1:9" x14ac:dyDescent="0.2">
      <c r="A552" t="s">
        <v>565</v>
      </c>
      <c r="B552" t="s">
        <v>62</v>
      </c>
      <c r="C552" t="s">
        <v>62</v>
      </c>
      <c r="D552">
        <v>1993</v>
      </c>
      <c r="E552" t="s">
        <v>513</v>
      </c>
      <c r="F552" t="s">
        <v>544</v>
      </c>
      <c r="G552" t="s">
        <v>37</v>
      </c>
      <c r="H552" t="s">
        <v>516</v>
      </c>
      <c r="I552" t="s">
        <v>38</v>
      </c>
    </row>
    <row r="553" spans="1:9" x14ac:dyDescent="0.2">
      <c r="A553" t="s">
        <v>799</v>
      </c>
      <c r="B553" t="s">
        <v>4</v>
      </c>
      <c r="C553" t="s">
        <v>4</v>
      </c>
      <c r="D553">
        <v>1992</v>
      </c>
      <c r="E553" t="s">
        <v>641</v>
      </c>
      <c r="F553" t="s">
        <v>683</v>
      </c>
      <c r="G553" t="s">
        <v>582</v>
      </c>
      <c r="H553" t="s">
        <v>639</v>
      </c>
      <c r="I553" t="s">
        <v>8</v>
      </c>
    </row>
    <row r="554" spans="1:9" x14ac:dyDescent="0.2">
      <c r="A554" t="s">
        <v>273</v>
      </c>
      <c r="B554" t="s">
        <v>4</v>
      </c>
      <c r="C554" t="s">
        <v>4</v>
      </c>
      <c r="D554">
        <v>1998</v>
      </c>
      <c r="E554" t="s">
        <v>220</v>
      </c>
      <c r="F554" t="s">
        <v>209</v>
      </c>
      <c r="G554" t="s">
        <v>54</v>
      </c>
      <c r="H554" t="s">
        <v>156</v>
      </c>
      <c r="I554" t="s">
        <v>38</v>
      </c>
    </row>
    <row r="555" spans="1:9" x14ac:dyDescent="0.2">
      <c r="A555" t="s">
        <v>694</v>
      </c>
      <c r="B555" t="s">
        <v>94</v>
      </c>
      <c r="C555" t="s">
        <v>94</v>
      </c>
      <c r="D555">
        <v>1994</v>
      </c>
      <c r="E555" t="s">
        <v>641</v>
      </c>
      <c r="F555" t="s">
        <v>695</v>
      </c>
      <c r="G555" t="s">
        <v>696</v>
      </c>
      <c r="H555" t="s">
        <v>639</v>
      </c>
      <c r="I555" t="s">
        <v>8</v>
      </c>
    </row>
    <row r="556" spans="1:9" x14ac:dyDescent="0.2">
      <c r="A556" t="s">
        <v>235</v>
      </c>
      <c r="B556" t="s">
        <v>176</v>
      </c>
      <c r="C556" t="s">
        <v>176</v>
      </c>
      <c r="D556">
        <v>1999</v>
      </c>
      <c r="E556" t="s">
        <v>192</v>
      </c>
      <c r="F556" t="s">
        <v>236</v>
      </c>
      <c r="G556" t="s">
        <v>237</v>
      </c>
      <c r="H556" t="s">
        <v>156</v>
      </c>
      <c r="I556" t="s">
        <v>195</v>
      </c>
    </row>
    <row r="557" spans="1:9" x14ac:dyDescent="0.2">
      <c r="A557" t="s">
        <v>933</v>
      </c>
      <c r="B557" t="s">
        <v>80</v>
      </c>
      <c r="C557" t="s">
        <v>17</v>
      </c>
      <c r="D557">
        <v>1999</v>
      </c>
      <c r="E557" t="s">
        <v>909</v>
      </c>
      <c r="F557" t="s">
        <v>934</v>
      </c>
      <c r="G557" t="s">
        <v>369</v>
      </c>
      <c r="H557" t="s">
        <v>907</v>
      </c>
      <c r="I557" t="s">
        <v>911</v>
      </c>
    </row>
    <row r="558" spans="1:9" x14ac:dyDescent="0.2">
      <c r="A558" t="s">
        <v>859</v>
      </c>
      <c r="B558" t="s">
        <v>11</v>
      </c>
      <c r="C558" t="s">
        <v>11</v>
      </c>
      <c r="D558">
        <v>2008</v>
      </c>
      <c r="E558" t="s">
        <v>852</v>
      </c>
      <c r="F558" t="s">
        <v>1240</v>
      </c>
      <c r="G558" t="s">
        <v>159</v>
      </c>
      <c r="H558" t="s">
        <v>853</v>
      </c>
      <c r="I558" t="s">
        <v>8</v>
      </c>
    </row>
    <row r="559" spans="1:9" x14ac:dyDescent="0.2">
      <c r="A559" t="s">
        <v>505</v>
      </c>
      <c r="B559" t="s">
        <v>4</v>
      </c>
      <c r="C559" t="s">
        <v>4</v>
      </c>
      <c r="D559">
        <v>1995</v>
      </c>
      <c r="E559" t="s">
        <v>460</v>
      </c>
      <c r="F559" t="s">
        <v>1229</v>
      </c>
      <c r="G559" t="s">
        <v>506</v>
      </c>
      <c r="H559" t="s">
        <v>462</v>
      </c>
      <c r="I559" t="s">
        <v>463</v>
      </c>
    </row>
    <row r="560" spans="1:9" x14ac:dyDescent="0.2">
      <c r="A560" t="s">
        <v>521</v>
      </c>
      <c r="B560" t="s">
        <v>80</v>
      </c>
      <c r="C560" t="s">
        <v>17</v>
      </c>
      <c r="D560">
        <v>2002</v>
      </c>
      <c r="E560" t="s">
        <v>522</v>
      </c>
      <c r="F560" t="s">
        <v>523</v>
      </c>
      <c r="G560" t="s">
        <v>369</v>
      </c>
      <c r="H560" t="s">
        <v>516</v>
      </c>
      <c r="I560" t="s">
        <v>524</v>
      </c>
    </row>
    <row r="561" spans="1:9" x14ac:dyDescent="0.2">
      <c r="A561" t="s">
        <v>962</v>
      </c>
      <c r="B561" t="s">
        <v>4</v>
      </c>
      <c r="C561" t="s">
        <v>4</v>
      </c>
      <c r="D561">
        <v>2005</v>
      </c>
      <c r="E561" t="s">
        <v>936</v>
      </c>
      <c r="F561" t="s">
        <v>937</v>
      </c>
      <c r="G561" t="s">
        <v>105</v>
      </c>
      <c r="H561" t="s">
        <v>938</v>
      </c>
      <c r="I561" t="s">
        <v>8</v>
      </c>
    </row>
    <row r="562" spans="1:9" x14ac:dyDescent="0.2">
      <c r="A562" t="s">
        <v>636</v>
      </c>
      <c r="B562" t="s">
        <v>89</v>
      </c>
      <c r="C562" t="s">
        <v>89</v>
      </c>
      <c r="D562">
        <v>1990</v>
      </c>
      <c r="E562" t="s">
        <v>637</v>
      </c>
      <c r="F562" t="s">
        <v>638</v>
      </c>
      <c r="G562" t="s">
        <v>213</v>
      </c>
      <c r="H562" t="s">
        <v>639</v>
      </c>
      <c r="I562" t="s">
        <v>463</v>
      </c>
    </row>
    <row r="563" spans="1:9" x14ac:dyDescent="0.2">
      <c r="A563" t="s">
        <v>615</v>
      </c>
      <c r="B563" t="s">
        <v>270</v>
      </c>
      <c r="C563" t="s">
        <v>62</v>
      </c>
      <c r="D563">
        <v>1991</v>
      </c>
      <c r="E563" t="s">
        <v>513</v>
      </c>
      <c r="F563" t="s">
        <v>514</v>
      </c>
      <c r="G563" t="s">
        <v>54</v>
      </c>
      <c r="H563" t="s">
        <v>516</v>
      </c>
      <c r="I563" t="s">
        <v>38</v>
      </c>
    </row>
    <row r="564" spans="1:9" x14ac:dyDescent="0.2">
      <c r="A564" t="s">
        <v>561</v>
      </c>
      <c r="B564" t="s">
        <v>272</v>
      </c>
      <c r="C564" t="s">
        <v>272</v>
      </c>
      <c r="D564">
        <v>1994</v>
      </c>
      <c r="E564" t="s">
        <v>513</v>
      </c>
      <c r="F564" t="s">
        <v>514</v>
      </c>
      <c r="G564" t="s">
        <v>54</v>
      </c>
      <c r="H564" t="s">
        <v>516</v>
      </c>
      <c r="I564" t="s">
        <v>38</v>
      </c>
    </row>
    <row r="565" spans="1:9" x14ac:dyDescent="0.2">
      <c r="A565" t="s">
        <v>805</v>
      </c>
      <c r="B565" t="s">
        <v>4</v>
      </c>
      <c r="C565" t="s">
        <v>4</v>
      </c>
      <c r="D565">
        <v>1997</v>
      </c>
      <c r="E565" t="s">
        <v>806</v>
      </c>
      <c r="F565" t="s">
        <v>807</v>
      </c>
      <c r="G565" t="s">
        <v>353</v>
      </c>
      <c r="H565" t="s">
        <v>639</v>
      </c>
      <c r="I565" t="s">
        <v>463</v>
      </c>
    </row>
    <row r="566" spans="1:9" x14ac:dyDescent="0.2">
      <c r="A566" t="s">
        <v>645</v>
      </c>
      <c r="B566" t="s">
        <v>407</v>
      </c>
      <c r="C566" t="s">
        <v>62</v>
      </c>
      <c r="D566">
        <v>2000</v>
      </c>
      <c r="E566" t="s">
        <v>637</v>
      </c>
      <c r="F566" t="s">
        <v>646</v>
      </c>
      <c r="G566" t="s">
        <v>647</v>
      </c>
      <c r="H566" t="s">
        <v>639</v>
      </c>
      <c r="I566" t="s">
        <v>463</v>
      </c>
    </row>
    <row r="567" spans="1:9" x14ac:dyDescent="0.2">
      <c r="A567" t="s">
        <v>1003</v>
      </c>
      <c r="B567" t="s">
        <v>1004</v>
      </c>
      <c r="C567" t="s">
        <v>1004</v>
      </c>
      <c r="D567">
        <v>1993</v>
      </c>
      <c r="E567" t="s">
        <v>1005</v>
      </c>
      <c r="F567" t="s">
        <v>1006</v>
      </c>
      <c r="G567" t="s">
        <v>1007</v>
      </c>
      <c r="H567" t="s">
        <v>1008</v>
      </c>
      <c r="I567" t="s">
        <v>38</v>
      </c>
    </row>
    <row r="568" spans="1:9" x14ac:dyDescent="0.2">
      <c r="A568" t="s">
        <v>53</v>
      </c>
      <c r="B568" t="s">
        <v>4</v>
      </c>
      <c r="C568" t="s">
        <v>4</v>
      </c>
      <c r="D568">
        <v>1993</v>
      </c>
      <c r="E568" t="s">
        <v>5</v>
      </c>
      <c r="F568" t="s">
        <v>40</v>
      </c>
      <c r="G568" t="s">
        <v>54</v>
      </c>
      <c r="H568" t="s">
        <v>7</v>
      </c>
      <c r="I568" t="s">
        <v>8</v>
      </c>
    </row>
    <row r="569" spans="1:9" x14ac:dyDescent="0.2">
      <c r="A569" t="s">
        <v>91</v>
      </c>
      <c r="B569" t="s">
        <v>4</v>
      </c>
      <c r="C569" t="s">
        <v>4</v>
      </c>
      <c r="D569">
        <v>1992</v>
      </c>
      <c r="E569" t="s">
        <v>5</v>
      </c>
      <c r="F569" t="s">
        <v>40</v>
      </c>
      <c r="G569" t="s">
        <v>54</v>
      </c>
      <c r="H569" t="s">
        <v>7</v>
      </c>
      <c r="I569" t="s">
        <v>8</v>
      </c>
    </row>
    <row r="570" spans="1:9" x14ac:dyDescent="0.2">
      <c r="A570" t="s">
        <v>91</v>
      </c>
      <c r="B570" t="s">
        <v>94</v>
      </c>
      <c r="C570" t="s">
        <v>94</v>
      </c>
      <c r="D570">
        <v>1994</v>
      </c>
      <c r="E570" t="s">
        <v>5</v>
      </c>
      <c r="F570" t="s">
        <v>40</v>
      </c>
      <c r="G570" t="s">
        <v>54</v>
      </c>
      <c r="H570" t="s">
        <v>7</v>
      </c>
      <c r="I570" t="s">
        <v>8</v>
      </c>
    </row>
    <row r="571" spans="1:9" x14ac:dyDescent="0.2">
      <c r="A571" t="s">
        <v>434</v>
      </c>
      <c r="B571" t="s">
        <v>62</v>
      </c>
      <c r="C571" t="s">
        <v>62</v>
      </c>
      <c r="D571">
        <v>1998</v>
      </c>
      <c r="E571" t="s">
        <v>220</v>
      </c>
      <c r="F571" t="s">
        <v>435</v>
      </c>
      <c r="G571" t="s">
        <v>259</v>
      </c>
      <c r="H571" t="s">
        <v>156</v>
      </c>
      <c r="I571" t="s">
        <v>38</v>
      </c>
    </row>
    <row r="572" spans="1:9" x14ac:dyDescent="0.2">
      <c r="A572" t="s">
        <v>932</v>
      </c>
      <c r="B572" t="s">
        <v>4</v>
      </c>
      <c r="C572" t="s">
        <v>4</v>
      </c>
      <c r="D572">
        <v>2001</v>
      </c>
      <c r="E572" t="s">
        <v>909</v>
      </c>
      <c r="F572" t="s">
        <v>923</v>
      </c>
      <c r="G572" t="s">
        <v>369</v>
      </c>
      <c r="H572" t="s">
        <v>907</v>
      </c>
      <c r="I572" t="s">
        <v>911</v>
      </c>
    </row>
    <row r="573" spans="1:9" x14ac:dyDescent="0.2">
      <c r="A573" t="s">
        <v>424</v>
      </c>
      <c r="B573" t="s">
        <v>151</v>
      </c>
      <c r="C573" t="s">
        <v>152</v>
      </c>
      <c r="D573">
        <v>2001</v>
      </c>
      <c r="E573" t="s">
        <v>153</v>
      </c>
      <c r="F573" t="s">
        <v>425</v>
      </c>
      <c r="G573" t="s">
        <v>155</v>
      </c>
      <c r="H573" t="s">
        <v>156</v>
      </c>
      <c r="I573" t="s">
        <v>8</v>
      </c>
    </row>
    <row r="574" spans="1:9" x14ac:dyDescent="0.2">
      <c r="A574" t="s">
        <v>972</v>
      </c>
      <c r="B574" t="s">
        <v>691</v>
      </c>
      <c r="C574" t="s">
        <v>691</v>
      </c>
      <c r="D574">
        <v>1994</v>
      </c>
      <c r="E574" t="s">
        <v>936</v>
      </c>
      <c r="F574" t="s">
        <v>940</v>
      </c>
      <c r="G574" t="s">
        <v>693</v>
      </c>
      <c r="H574" t="s">
        <v>938</v>
      </c>
      <c r="I574" t="s">
        <v>8</v>
      </c>
    </row>
    <row r="575" spans="1:9" x14ac:dyDescent="0.2">
      <c r="A575" t="s">
        <v>293</v>
      </c>
      <c r="B575" t="s">
        <v>4</v>
      </c>
      <c r="C575" t="s">
        <v>4</v>
      </c>
      <c r="D575">
        <v>1999</v>
      </c>
      <c r="E575" t="s">
        <v>294</v>
      </c>
      <c r="F575" t="s">
        <v>1223</v>
      </c>
      <c r="G575" t="s">
        <v>295</v>
      </c>
      <c r="H575" t="s">
        <v>156</v>
      </c>
      <c r="I575" t="s">
        <v>164</v>
      </c>
    </row>
    <row r="576" spans="1:9" x14ac:dyDescent="0.2">
      <c r="A576" t="s">
        <v>87</v>
      </c>
      <c r="B576" t="s">
        <v>88</v>
      </c>
      <c r="C576" t="s">
        <v>89</v>
      </c>
      <c r="D576">
        <v>1991</v>
      </c>
      <c r="E576" t="s">
        <v>35</v>
      </c>
      <c r="F576" t="s">
        <v>36</v>
      </c>
      <c r="G576" t="s">
        <v>90</v>
      </c>
      <c r="H576" t="s">
        <v>7</v>
      </c>
      <c r="I576" t="s">
        <v>38</v>
      </c>
    </row>
    <row r="577" spans="1:9" x14ac:dyDescent="0.2">
      <c r="A577" t="s">
        <v>87</v>
      </c>
      <c r="B577" t="s">
        <v>130</v>
      </c>
      <c r="C577" t="s">
        <v>34</v>
      </c>
      <c r="D577">
        <v>1996</v>
      </c>
      <c r="E577" t="s">
        <v>35</v>
      </c>
      <c r="F577" t="s">
        <v>36</v>
      </c>
      <c r="G577" t="s">
        <v>131</v>
      </c>
      <c r="H577" t="s">
        <v>7</v>
      </c>
      <c r="I577" t="s">
        <v>38</v>
      </c>
    </row>
    <row r="578" spans="1:9" x14ac:dyDescent="0.2">
      <c r="A578" t="s">
        <v>802</v>
      </c>
      <c r="B578" t="s">
        <v>94</v>
      </c>
      <c r="C578" t="s">
        <v>94</v>
      </c>
      <c r="D578">
        <v>1995</v>
      </c>
      <c r="E578" t="s">
        <v>641</v>
      </c>
      <c r="F578" t="s">
        <v>803</v>
      </c>
      <c r="G578" t="s">
        <v>804</v>
      </c>
      <c r="H578" t="s">
        <v>639</v>
      </c>
      <c r="I578" t="s">
        <v>8</v>
      </c>
    </row>
    <row r="579" spans="1:9" x14ac:dyDescent="0.2">
      <c r="A579" t="s">
        <v>128</v>
      </c>
      <c r="B579" t="s">
        <v>4</v>
      </c>
      <c r="C579" t="s">
        <v>4</v>
      </c>
      <c r="D579">
        <v>2002</v>
      </c>
      <c r="E579" t="s">
        <v>129</v>
      </c>
      <c r="F579" t="s">
        <v>1223</v>
      </c>
      <c r="G579" t="s">
        <v>22</v>
      </c>
      <c r="H579" t="s">
        <v>7</v>
      </c>
      <c r="I579" t="s">
        <v>23</v>
      </c>
    </row>
    <row r="580" spans="1:9" x14ac:dyDescent="0.2">
      <c r="A580" t="s">
        <v>541</v>
      </c>
      <c r="B580" t="s">
        <v>270</v>
      </c>
      <c r="C580" t="s">
        <v>62</v>
      </c>
      <c r="D580">
        <v>1991</v>
      </c>
      <c r="E580" t="s">
        <v>518</v>
      </c>
      <c r="F580" t="s">
        <v>542</v>
      </c>
      <c r="G580" t="s">
        <v>399</v>
      </c>
      <c r="H580" t="s">
        <v>516</v>
      </c>
      <c r="I580" t="s">
        <v>520</v>
      </c>
    </row>
    <row r="581" spans="1:9" x14ac:dyDescent="0.2">
      <c r="A581" t="s">
        <v>1106</v>
      </c>
      <c r="B581" t="s">
        <v>62</v>
      </c>
      <c r="C581" t="s">
        <v>62</v>
      </c>
      <c r="D581">
        <v>1993</v>
      </c>
      <c r="E581" t="s">
        <v>1102</v>
      </c>
      <c r="F581" t="s">
        <v>1251</v>
      </c>
      <c r="G581" t="s">
        <v>259</v>
      </c>
      <c r="H581" t="s">
        <v>1103</v>
      </c>
      <c r="I581" t="s">
        <v>452</v>
      </c>
    </row>
    <row r="582" spans="1:9" x14ac:dyDescent="0.2">
      <c r="A582" t="s">
        <v>1123</v>
      </c>
      <c r="B582" t="s">
        <v>34</v>
      </c>
      <c r="C582" t="s">
        <v>34</v>
      </c>
      <c r="D582">
        <v>2002</v>
      </c>
      <c r="E582" t="s">
        <v>1102</v>
      </c>
      <c r="F582" t="s">
        <v>1251</v>
      </c>
      <c r="G582" t="s">
        <v>37</v>
      </c>
      <c r="H582" t="s">
        <v>1103</v>
      </c>
      <c r="I582" t="s">
        <v>452</v>
      </c>
    </row>
    <row r="583" spans="1:9" x14ac:dyDescent="0.2">
      <c r="A583" t="s">
        <v>1144</v>
      </c>
      <c r="B583" t="s">
        <v>607</v>
      </c>
      <c r="C583" t="s">
        <v>607</v>
      </c>
      <c r="D583">
        <v>2004</v>
      </c>
      <c r="E583" t="s">
        <v>1145</v>
      </c>
      <c r="F583" t="s">
        <v>1146</v>
      </c>
      <c r="G583" t="s">
        <v>1147</v>
      </c>
      <c r="H583" t="s">
        <v>1148</v>
      </c>
      <c r="I583" t="s">
        <v>1093</v>
      </c>
    </row>
    <row r="584" spans="1:9" x14ac:dyDescent="0.2">
      <c r="A584" t="s">
        <v>739</v>
      </c>
      <c r="B584" t="s">
        <v>4</v>
      </c>
      <c r="C584" t="s">
        <v>4</v>
      </c>
      <c r="D584">
        <v>2004</v>
      </c>
      <c r="E584" t="s">
        <v>641</v>
      </c>
      <c r="F584" t="s">
        <v>644</v>
      </c>
      <c r="G584" t="s">
        <v>95</v>
      </c>
      <c r="H584" t="s">
        <v>639</v>
      </c>
      <c r="I584" t="s">
        <v>8</v>
      </c>
    </row>
    <row r="585" spans="1:9" x14ac:dyDescent="0.2">
      <c r="A585" t="s">
        <v>744</v>
      </c>
      <c r="B585" t="s">
        <v>4</v>
      </c>
      <c r="C585" t="s">
        <v>4</v>
      </c>
      <c r="D585">
        <v>2004</v>
      </c>
      <c r="E585" t="s">
        <v>641</v>
      </c>
      <c r="F585" t="s">
        <v>644</v>
      </c>
      <c r="G585" t="s">
        <v>95</v>
      </c>
      <c r="H585" t="s">
        <v>639</v>
      </c>
      <c r="I585" t="s">
        <v>8</v>
      </c>
    </row>
    <row r="586" spans="1:9" x14ac:dyDescent="0.2">
      <c r="A586" t="s">
        <v>1218</v>
      </c>
      <c r="B586" t="s">
        <v>4</v>
      </c>
      <c r="C586" t="s">
        <v>4</v>
      </c>
      <c r="D586">
        <v>2010</v>
      </c>
      <c r="E586" t="s">
        <v>1064</v>
      </c>
      <c r="F586" t="s">
        <v>1065</v>
      </c>
      <c r="G586" t="s">
        <v>1066</v>
      </c>
      <c r="H586" t="s">
        <v>1067</v>
      </c>
      <c r="I586" t="s">
        <v>463</v>
      </c>
    </row>
    <row r="587" spans="1:9" x14ac:dyDescent="0.2">
      <c r="A587" t="s">
        <v>109</v>
      </c>
      <c r="B587" t="s">
        <v>4</v>
      </c>
      <c r="C587" t="s">
        <v>4</v>
      </c>
      <c r="D587">
        <v>1999</v>
      </c>
      <c r="E587" t="s">
        <v>5</v>
      </c>
      <c r="F587" t="s">
        <v>110</v>
      </c>
      <c r="G587" t="s">
        <v>111</v>
      </c>
      <c r="H587" t="s">
        <v>7</v>
      </c>
      <c r="I587" t="s">
        <v>8</v>
      </c>
    </row>
    <row r="588" spans="1:9" x14ac:dyDescent="0.2">
      <c r="A588" t="s">
        <v>857</v>
      </c>
      <c r="B588" t="s">
        <v>4</v>
      </c>
      <c r="C588" t="s">
        <v>4</v>
      </c>
      <c r="D588">
        <v>1998</v>
      </c>
      <c r="E588" t="s">
        <v>850</v>
      </c>
      <c r="F588" t="s">
        <v>1237</v>
      </c>
      <c r="G588" t="s">
        <v>41</v>
      </c>
      <c r="H588" t="s">
        <v>853</v>
      </c>
      <c r="I588" t="s">
        <v>463</v>
      </c>
    </row>
    <row r="589" spans="1:9" x14ac:dyDescent="0.2">
      <c r="A589" t="s">
        <v>817</v>
      </c>
      <c r="B589" t="s">
        <v>231</v>
      </c>
      <c r="C589" t="s">
        <v>231</v>
      </c>
      <c r="D589">
        <v>1993</v>
      </c>
      <c r="E589" t="s">
        <v>641</v>
      </c>
      <c r="F589" t="s">
        <v>699</v>
      </c>
      <c r="G589" t="s">
        <v>700</v>
      </c>
      <c r="H589" t="s">
        <v>639</v>
      </c>
      <c r="I589" t="s">
        <v>8</v>
      </c>
    </row>
    <row r="590" spans="1:9" x14ac:dyDescent="0.2">
      <c r="A590" t="s">
        <v>254</v>
      </c>
      <c r="B590" t="s">
        <v>34</v>
      </c>
      <c r="C590" t="s">
        <v>34</v>
      </c>
      <c r="D590">
        <v>2000</v>
      </c>
      <c r="E590" t="s">
        <v>211</v>
      </c>
      <c r="F590" t="s">
        <v>255</v>
      </c>
      <c r="G590" t="s">
        <v>256</v>
      </c>
      <c r="H590" t="s">
        <v>156</v>
      </c>
      <c r="I590" t="s">
        <v>38</v>
      </c>
    </row>
    <row r="591" spans="1:9" x14ac:dyDescent="0.2">
      <c r="A591" t="s">
        <v>331</v>
      </c>
      <c r="B591" t="s">
        <v>4</v>
      </c>
      <c r="C591" t="s">
        <v>4</v>
      </c>
      <c r="D591">
        <v>1998</v>
      </c>
      <c r="E591" t="s">
        <v>161</v>
      </c>
      <c r="F591" t="s">
        <v>332</v>
      </c>
      <c r="G591" t="s">
        <v>51</v>
      </c>
      <c r="H591" t="s">
        <v>156</v>
      </c>
      <c r="I591" t="s">
        <v>164</v>
      </c>
    </row>
    <row r="592" spans="1:9" x14ac:dyDescent="0.2">
      <c r="A592" t="s">
        <v>1035</v>
      </c>
      <c r="B592" t="s">
        <v>231</v>
      </c>
      <c r="C592" t="s">
        <v>231</v>
      </c>
      <c r="D592">
        <v>1994</v>
      </c>
      <c r="E592" t="s">
        <v>1010</v>
      </c>
      <c r="F592" t="s">
        <v>1036</v>
      </c>
      <c r="G592" t="s">
        <v>1012</v>
      </c>
      <c r="H592" t="s">
        <v>1008</v>
      </c>
      <c r="I592" t="s">
        <v>1013</v>
      </c>
    </row>
    <row r="593" spans="1:9" x14ac:dyDescent="0.2">
      <c r="A593" t="s">
        <v>825</v>
      </c>
      <c r="B593" t="s">
        <v>4</v>
      </c>
      <c r="C593" t="s">
        <v>4</v>
      </c>
      <c r="D593">
        <v>2007</v>
      </c>
      <c r="E593" t="s">
        <v>641</v>
      </c>
      <c r="F593" t="s">
        <v>652</v>
      </c>
      <c r="G593" t="s">
        <v>650</v>
      </c>
      <c r="H593" t="s">
        <v>639</v>
      </c>
      <c r="I593" t="s">
        <v>8</v>
      </c>
    </row>
    <row r="594" spans="1:9" x14ac:dyDescent="0.2">
      <c r="A594" t="s">
        <v>102</v>
      </c>
      <c r="B594" t="s">
        <v>4</v>
      </c>
      <c r="C594" t="s">
        <v>4</v>
      </c>
      <c r="D594">
        <v>2003</v>
      </c>
      <c r="E594" t="s">
        <v>35</v>
      </c>
      <c r="F594" t="s">
        <v>45</v>
      </c>
      <c r="G594" t="s">
        <v>46</v>
      </c>
      <c r="H594" t="s">
        <v>7</v>
      </c>
      <c r="I594" t="s">
        <v>38</v>
      </c>
    </row>
    <row r="595" spans="1:9" x14ac:dyDescent="0.2">
      <c r="A595" t="s">
        <v>119</v>
      </c>
      <c r="B595" t="s">
        <v>94</v>
      </c>
      <c r="C595" t="s">
        <v>94</v>
      </c>
      <c r="D595">
        <v>1992</v>
      </c>
      <c r="E595" t="s">
        <v>5</v>
      </c>
      <c r="F595" t="s">
        <v>120</v>
      </c>
      <c r="G595" t="s">
        <v>95</v>
      </c>
      <c r="H595" t="s">
        <v>7</v>
      </c>
      <c r="I595" t="s">
        <v>8</v>
      </c>
    </row>
    <row r="596" spans="1:9" x14ac:dyDescent="0.2">
      <c r="A596" t="s">
        <v>279</v>
      </c>
      <c r="B596" t="s">
        <v>280</v>
      </c>
      <c r="C596" t="s">
        <v>280</v>
      </c>
      <c r="D596">
        <v>2009</v>
      </c>
      <c r="E596" t="s">
        <v>161</v>
      </c>
      <c r="F596" t="s">
        <v>209</v>
      </c>
      <c r="G596" t="s">
        <v>281</v>
      </c>
      <c r="H596" t="s">
        <v>156</v>
      </c>
      <c r="I596" t="s">
        <v>164</v>
      </c>
    </row>
    <row r="597" spans="1:9" x14ac:dyDescent="0.2">
      <c r="A597" t="s">
        <v>772</v>
      </c>
      <c r="B597" t="s">
        <v>4</v>
      </c>
      <c r="C597" t="s">
        <v>4</v>
      </c>
      <c r="D597">
        <v>2002</v>
      </c>
      <c r="E597" t="s">
        <v>641</v>
      </c>
      <c r="F597" t="s">
        <v>773</v>
      </c>
      <c r="G597" t="s">
        <v>738</v>
      </c>
      <c r="H597" t="s">
        <v>639</v>
      </c>
      <c r="I597" t="s">
        <v>8</v>
      </c>
    </row>
    <row r="598" spans="1:9" x14ac:dyDescent="0.2">
      <c r="A598" t="s">
        <v>710</v>
      </c>
      <c r="B598" t="s">
        <v>4</v>
      </c>
      <c r="C598" t="s">
        <v>4</v>
      </c>
      <c r="D598">
        <v>1999</v>
      </c>
      <c r="E598" t="s">
        <v>711</v>
      </c>
      <c r="F598" t="s">
        <v>644</v>
      </c>
      <c r="G598" t="s">
        <v>582</v>
      </c>
      <c r="H598" t="s">
        <v>639</v>
      </c>
      <c r="I598" t="s">
        <v>8</v>
      </c>
    </row>
    <row r="599" spans="1:9" x14ac:dyDescent="0.2">
      <c r="A599" t="s">
        <v>974</v>
      </c>
      <c r="B599" t="s">
        <v>667</v>
      </c>
      <c r="C599" t="s">
        <v>667</v>
      </c>
      <c r="D599">
        <v>1990</v>
      </c>
      <c r="E599" t="s">
        <v>945</v>
      </c>
      <c r="F599" t="s">
        <v>1246</v>
      </c>
      <c r="G599" t="s">
        <v>975</v>
      </c>
      <c r="H599" t="s">
        <v>938</v>
      </c>
      <c r="I599" t="s">
        <v>463</v>
      </c>
    </row>
    <row r="600" spans="1:9" x14ac:dyDescent="0.2">
      <c r="A600" t="s">
        <v>1037</v>
      </c>
      <c r="B600" t="s">
        <v>1038</v>
      </c>
      <c r="C600" t="s">
        <v>1039</v>
      </c>
      <c r="D600">
        <v>1999</v>
      </c>
      <c r="E600" t="s">
        <v>1005</v>
      </c>
      <c r="F600" t="s">
        <v>1006</v>
      </c>
      <c r="G600" t="s">
        <v>1040</v>
      </c>
      <c r="H600" t="s">
        <v>1008</v>
      </c>
      <c r="I600" t="s">
        <v>38</v>
      </c>
    </row>
    <row r="601" spans="1:9" x14ac:dyDescent="0.2">
      <c r="A601" t="s">
        <v>98</v>
      </c>
      <c r="B601" t="s">
        <v>4</v>
      </c>
      <c r="C601" t="s">
        <v>4</v>
      </c>
      <c r="D601">
        <v>2004</v>
      </c>
      <c r="E601" t="s">
        <v>5</v>
      </c>
      <c r="F601" t="s">
        <v>6</v>
      </c>
      <c r="G601" t="s">
        <v>6</v>
      </c>
      <c r="H601" t="s">
        <v>7</v>
      </c>
      <c r="I601" t="s">
        <v>8</v>
      </c>
    </row>
    <row r="602" spans="1:9" x14ac:dyDescent="0.2">
      <c r="A602" t="s">
        <v>829</v>
      </c>
      <c r="B602" t="s">
        <v>69</v>
      </c>
      <c r="C602" t="s">
        <v>69</v>
      </c>
      <c r="D602">
        <v>2004</v>
      </c>
      <c r="E602" t="s">
        <v>315</v>
      </c>
      <c r="F602" t="s">
        <v>830</v>
      </c>
      <c r="G602" t="s">
        <v>831</v>
      </c>
      <c r="H602" t="s">
        <v>832</v>
      </c>
      <c r="I602" t="s">
        <v>317</v>
      </c>
    </row>
    <row r="603" spans="1:9" x14ac:dyDescent="0.2">
      <c r="A603" t="s">
        <v>507</v>
      </c>
      <c r="B603" t="s">
        <v>4</v>
      </c>
      <c r="C603" t="s">
        <v>4</v>
      </c>
      <c r="D603">
        <v>1994</v>
      </c>
      <c r="E603" t="s">
        <v>472</v>
      </c>
      <c r="F603" t="s">
        <v>1229</v>
      </c>
      <c r="G603" t="s">
        <v>492</v>
      </c>
      <c r="H603" t="s">
        <v>462</v>
      </c>
      <c r="I603" t="s">
        <v>463</v>
      </c>
    </row>
    <row r="604" spans="1:9" x14ac:dyDescent="0.2">
      <c r="A604" t="s">
        <v>28</v>
      </c>
      <c r="B604" t="s">
        <v>4</v>
      </c>
      <c r="C604" t="s">
        <v>4</v>
      </c>
      <c r="D604">
        <v>2005</v>
      </c>
      <c r="E604" t="s">
        <v>5</v>
      </c>
      <c r="F604" t="s">
        <v>6</v>
      </c>
      <c r="G604" t="s">
        <v>6</v>
      </c>
      <c r="H604" t="s">
        <v>7</v>
      </c>
      <c r="I604" t="s">
        <v>8</v>
      </c>
    </row>
    <row r="605" spans="1:9" x14ac:dyDescent="0.2">
      <c r="A605" t="s">
        <v>525</v>
      </c>
      <c r="B605" t="s">
        <v>4</v>
      </c>
      <c r="C605" t="s">
        <v>4</v>
      </c>
      <c r="D605">
        <v>2000</v>
      </c>
      <c r="E605" t="s">
        <v>518</v>
      </c>
      <c r="F605" t="s">
        <v>526</v>
      </c>
      <c r="G605" t="s">
        <v>41</v>
      </c>
      <c r="H605" t="s">
        <v>516</v>
      </c>
      <c r="I605" t="s">
        <v>520</v>
      </c>
    </row>
    <row r="606" spans="1:9" x14ac:dyDescent="0.2">
      <c r="A606" t="s">
        <v>953</v>
      </c>
      <c r="B606" t="s">
        <v>4</v>
      </c>
      <c r="C606" t="s">
        <v>4</v>
      </c>
      <c r="D606">
        <v>2005</v>
      </c>
      <c r="E606" t="s">
        <v>954</v>
      </c>
      <c r="F606" t="s">
        <v>955</v>
      </c>
      <c r="G606" t="s">
        <v>684</v>
      </c>
      <c r="H606" t="s">
        <v>938</v>
      </c>
      <c r="I606" t="s">
        <v>463</v>
      </c>
    </row>
    <row r="607" spans="1:9" x14ac:dyDescent="0.2">
      <c r="A607" t="s">
        <v>445</v>
      </c>
      <c r="B607" t="s">
        <v>80</v>
      </c>
      <c r="C607" t="s">
        <v>17</v>
      </c>
      <c r="D607">
        <v>2006</v>
      </c>
      <c r="E607" t="s">
        <v>172</v>
      </c>
      <c r="F607" t="s">
        <v>446</v>
      </c>
      <c r="G607" t="s">
        <v>217</v>
      </c>
      <c r="H607" t="s">
        <v>156</v>
      </c>
      <c r="I607" t="s">
        <v>174</v>
      </c>
    </row>
    <row r="608" spans="1:9" x14ac:dyDescent="0.2">
      <c r="A608" t="s">
        <v>1052</v>
      </c>
      <c r="B608" t="s">
        <v>4</v>
      </c>
      <c r="C608" t="s">
        <v>4</v>
      </c>
      <c r="D608">
        <v>2005</v>
      </c>
      <c r="E608" t="s">
        <v>1053</v>
      </c>
      <c r="F608" t="s">
        <v>1054</v>
      </c>
      <c r="G608" t="s">
        <v>1055</v>
      </c>
      <c r="H608" t="s">
        <v>1056</v>
      </c>
      <c r="I608" t="s">
        <v>1057</v>
      </c>
    </row>
    <row r="612" spans="1:13" x14ac:dyDescent="0.2">
      <c r="A612" s="34" t="s">
        <v>0</v>
      </c>
      <c r="B612" s="34" t="s">
        <v>1</v>
      </c>
      <c r="C612" s="34" t="s">
        <v>1262</v>
      </c>
      <c r="D612" s="34" t="s">
        <v>1325</v>
      </c>
      <c r="E612" s="34" t="s">
        <v>2</v>
      </c>
      <c r="F612" s="34" t="s">
        <v>1271</v>
      </c>
      <c r="G612" s="34" t="s">
        <v>1272</v>
      </c>
      <c r="H612" s="34" t="s">
        <v>1273</v>
      </c>
      <c r="I612" s="34" t="s">
        <v>1274</v>
      </c>
      <c r="L612" s="7" t="s">
        <v>1339</v>
      </c>
      <c r="M612" s="7" t="s">
        <v>1276</v>
      </c>
    </row>
    <row r="613" spans="1:13" x14ac:dyDescent="0.2">
      <c r="A613" s="28" t="s">
        <v>1317</v>
      </c>
      <c r="B613" s="24" t="s">
        <v>1318</v>
      </c>
      <c r="C613" s="24" t="s">
        <v>181</v>
      </c>
      <c r="D613" s="24">
        <v>1960</v>
      </c>
      <c r="E613" s="24" t="s">
        <v>35</v>
      </c>
      <c r="F613" s="24" t="s">
        <v>1326</v>
      </c>
      <c r="G613" s="24" t="s">
        <v>111</v>
      </c>
      <c r="H613" s="24" t="s">
        <v>7</v>
      </c>
      <c r="I613" s="25" t="s">
        <v>38</v>
      </c>
      <c r="L613" s="6">
        <v>1950</v>
      </c>
      <c r="M613" s="6">
        <v>0</v>
      </c>
    </row>
    <row r="614" spans="1:13" x14ac:dyDescent="0.2">
      <c r="A614" s="31" t="s">
        <v>1319</v>
      </c>
      <c r="B614" s="32" t="s">
        <v>1318</v>
      </c>
      <c r="C614" s="32" t="s">
        <v>181</v>
      </c>
      <c r="D614" s="32">
        <v>1959</v>
      </c>
      <c r="E614" s="32" t="s">
        <v>1053</v>
      </c>
      <c r="F614" s="32" t="s">
        <v>1054</v>
      </c>
      <c r="G614" s="32" t="s">
        <v>54</v>
      </c>
      <c r="H614" s="32" t="s">
        <v>1320</v>
      </c>
      <c r="I614" s="33" t="s">
        <v>1057</v>
      </c>
      <c r="L614" s="5">
        <v>1960</v>
      </c>
      <c r="M614" s="5">
        <v>7</v>
      </c>
    </row>
    <row r="615" spans="1:13" x14ac:dyDescent="0.2">
      <c r="A615" s="28" t="s">
        <v>1327</v>
      </c>
      <c r="B615" s="24" t="s">
        <v>270</v>
      </c>
      <c r="C615" s="24" t="s">
        <v>62</v>
      </c>
      <c r="D615" s="24">
        <v>1960</v>
      </c>
      <c r="E615" s="24" t="s">
        <v>1328</v>
      </c>
      <c r="F615" s="24" t="s">
        <v>1329</v>
      </c>
      <c r="G615" s="24" t="s">
        <v>54</v>
      </c>
      <c r="H615" s="24" t="s">
        <v>516</v>
      </c>
      <c r="I615" s="25" t="s">
        <v>38</v>
      </c>
      <c r="L615" s="6">
        <v>1970</v>
      </c>
      <c r="M615" s="6">
        <v>0</v>
      </c>
    </row>
    <row r="616" spans="1:13" x14ac:dyDescent="0.2">
      <c r="A616" s="31" t="s">
        <v>575</v>
      </c>
      <c r="B616" s="32" t="s">
        <v>4</v>
      </c>
      <c r="C616" s="32" t="s">
        <v>4</v>
      </c>
      <c r="D616" s="32">
        <v>1960</v>
      </c>
      <c r="E616" s="32" t="s">
        <v>513</v>
      </c>
      <c r="F616" s="32" t="s">
        <v>576</v>
      </c>
      <c r="G616" s="32" t="s">
        <v>54</v>
      </c>
      <c r="H616" s="32" t="s">
        <v>516</v>
      </c>
      <c r="I616" s="33" t="s">
        <v>38</v>
      </c>
      <c r="L616" s="5">
        <v>1980</v>
      </c>
      <c r="M616" s="5">
        <v>0</v>
      </c>
    </row>
    <row r="617" spans="1:13" x14ac:dyDescent="0.2">
      <c r="A617" s="28" t="s">
        <v>1321</v>
      </c>
      <c r="B617" s="24" t="s">
        <v>4</v>
      </c>
      <c r="C617" s="24" t="s">
        <v>4</v>
      </c>
      <c r="D617" s="24">
        <v>1960</v>
      </c>
      <c r="E617" s="24" t="s">
        <v>1330</v>
      </c>
      <c r="F617" s="24" t="s">
        <v>1331</v>
      </c>
      <c r="G617" s="24" t="s">
        <v>1332</v>
      </c>
      <c r="H617" s="24" t="s">
        <v>516</v>
      </c>
      <c r="I617" s="25" t="s">
        <v>1333</v>
      </c>
      <c r="L617" s="35" t="s">
        <v>1310</v>
      </c>
      <c r="M617" s="35">
        <f>SUM(M613:M616)</f>
        <v>7</v>
      </c>
    </row>
    <row r="618" spans="1:13" x14ac:dyDescent="0.2">
      <c r="A618" s="31" t="s">
        <v>1322</v>
      </c>
      <c r="B618" s="32" t="s">
        <v>1318</v>
      </c>
      <c r="C618" s="32" t="s">
        <v>181</v>
      </c>
      <c r="D618" s="32">
        <v>1960</v>
      </c>
      <c r="E618" s="32" t="s">
        <v>637</v>
      </c>
      <c r="F618" s="32" t="s">
        <v>1334</v>
      </c>
      <c r="G618" s="32" t="s">
        <v>111</v>
      </c>
      <c r="H618" s="32" t="s">
        <v>639</v>
      </c>
      <c r="I618" s="33" t="s">
        <v>463</v>
      </c>
    </row>
    <row r="619" spans="1:13" x14ac:dyDescent="0.2">
      <c r="A619" s="28" t="s">
        <v>1323</v>
      </c>
      <c r="B619" s="24" t="s">
        <v>1335</v>
      </c>
      <c r="C619" s="24" t="s">
        <v>1336</v>
      </c>
      <c r="D619" s="24">
        <v>1960</v>
      </c>
      <c r="E619" s="24" t="s">
        <v>472</v>
      </c>
      <c r="F619" s="24" t="s">
        <v>1337</v>
      </c>
      <c r="G619" s="24" t="s">
        <v>881</v>
      </c>
      <c r="H619" s="24" t="s">
        <v>877</v>
      </c>
      <c r="I619" s="25" t="s">
        <v>463</v>
      </c>
    </row>
    <row r="620" spans="1:13" x14ac:dyDescent="0.2">
      <c r="A620" s="29" t="s">
        <v>1324</v>
      </c>
      <c r="B620" s="26" t="s">
        <v>4</v>
      </c>
      <c r="C620" s="26" t="s">
        <v>4</v>
      </c>
      <c r="D620" s="30">
        <v>1960</v>
      </c>
      <c r="E620" s="26" t="s">
        <v>1199</v>
      </c>
      <c r="F620" s="26" t="s">
        <v>1338</v>
      </c>
      <c r="G620" s="26" t="s">
        <v>213</v>
      </c>
      <c r="H620" s="26" t="s">
        <v>1202</v>
      </c>
      <c r="I620" s="27" t="s">
        <v>1093</v>
      </c>
    </row>
  </sheetData>
  <mergeCells count="19">
    <mergeCell ref="CE40:CG40"/>
    <mergeCell ref="CI40:CK40"/>
    <mergeCell ref="BF1:BH1"/>
    <mergeCell ref="BJ1:BL1"/>
    <mergeCell ref="BF40:BH40"/>
    <mergeCell ref="BJ40:BL40"/>
    <mergeCell ref="CE1:CG1"/>
    <mergeCell ref="AG62:AK62"/>
    <mergeCell ref="W117:X117"/>
    <mergeCell ref="AG64:AH64"/>
    <mergeCell ref="AJ64:AK64"/>
    <mergeCell ref="AG89:AH89"/>
    <mergeCell ref="AJ89:AK89"/>
    <mergeCell ref="AG114:AH114"/>
    <mergeCell ref="W67:X67"/>
    <mergeCell ref="Z67:AA67"/>
    <mergeCell ref="W92:X92"/>
    <mergeCell ref="W65:AA65"/>
    <mergeCell ref="Z92:AA9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4294967293" verticalDpi="200" r:id="rId1"/>
  <headerFooter>
    <oddHeader>&amp;C&amp;"Times New Roman,Regular"&amp;12&amp;A</oddHeader>
    <oddFooter>&amp;C&amp;"Times New Roman,Regular"&amp;12Page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2126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</dc:creator>
  <cp:lastModifiedBy>Helene</cp:lastModifiedBy>
  <cp:revision>4</cp:revision>
  <dcterms:created xsi:type="dcterms:W3CDTF">2016-03-06T19:23:12Z</dcterms:created>
  <dcterms:modified xsi:type="dcterms:W3CDTF">2016-04-27T17:42:41Z</dcterms:modified>
  <dc:language>en-GB</dc:language>
</cp:coreProperties>
</file>